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ate1904="1" codeName="ThisWorkbook"/>
  <mc:AlternateContent xmlns:mc="http://schemas.openxmlformats.org/markup-compatibility/2006">
    <mc:Choice Requires="x15">
      <x15ac:absPath xmlns:x15ac="http://schemas.microsoft.com/office/spreadsheetml/2010/11/ac" url="C:\Users\Gebruiker\Desktop\"/>
    </mc:Choice>
  </mc:AlternateContent>
  <xr:revisionPtr revIDLastSave="0" documentId="8_{5047DAFA-9F85-4441-9876-3CDDDC153C94}" xr6:coauthVersionLast="47" xr6:coauthVersionMax="47" xr10:uidLastSave="{00000000-0000-0000-0000-000000000000}"/>
  <workbookProtection workbookPassword="C5D1" lockStructure="1"/>
  <bookViews>
    <workbookView showHorizontalScroll="0" xWindow="6690" yWindow="1470" windowWidth="21600" windowHeight="11385" tabRatio="500" xr2:uid="{00000000-000D-0000-FFFF-FFFF00000000}"/>
  </bookViews>
  <sheets>
    <sheet name="METRIC" sheetId="4" r:id="rId1"/>
    <sheet name="INCH" sheetId="6" r:id="rId2"/>
    <sheet name="INFO_Inch" sheetId="8" r:id="rId3"/>
    <sheet name="INFO" sheetId="2" r:id="rId4"/>
    <sheet name="Sheet2" sheetId="7" state="hidden" r:id="rId5"/>
    <sheet name="Sheet1" sheetId="5" state="hidden" r:id="rId6"/>
  </sheets>
  <definedNames>
    <definedName name="_xlnm.Print_Area" localSheetId="1">INCH!$A$1:$G$35</definedName>
    <definedName name="_xlnm.Print_Area" localSheetId="3">INFO!$A$1:$C$19</definedName>
    <definedName name="_xlnm.Print_Area" localSheetId="2">INFO_Inch!$A$1:$C$19</definedName>
    <definedName name="_xlnm.Print_Area" localSheetId="0">METRIC!$A$1:$G$39</definedName>
    <definedName name="그림검색">INDEX(Sheet1!$A$1:$A$3,Sheet1!$C$1)</definedName>
    <definedName name="그림검색2">INDEX(Sheet2!$A$1:$A$3,Sheet2!$C$1)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M2" i="4" l="1"/>
  <c r="EL2" i="4"/>
  <c r="EK2" i="4"/>
  <c r="EJ2" i="4"/>
  <c r="EI2" i="4"/>
  <c r="EH2" i="4"/>
  <c r="EG2" i="4"/>
  <c r="EF2" i="4"/>
  <c r="EE2" i="4"/>
  <c r="ED2" i="4"/>
  <c r="EC2" i="4"/>
  <c r="EB2" i="4"/>
  <c r="EA2" i="4"/>
  <c r="DZ2" i="4"/>
  <c r="DY2" i="4"/>
  <c r="DX2" i="4"/>
  <c r="DW2" i="4"/>
  <c r="DV2" i="4"/>
  <c r="DU2" i="4"/>
  <c r="DT2" i="4"/>
  <c r="DS2" i="4"/>
  <c r="DR2" i="4"/>
  <c r="DQ2" i="4"/>
  <c r="DP2" i="4"/>
  <c r="DO2" i="4"/>
  <c r="DN2" i="4"/>
  <c r="DM2" i="4"/>
  <c r="DL2" i="4"/>
  <c r="DK2" i="4"/>
  <c r="DJ2" i="4"/>
  <c r="DI2" i="4"/>
  <c r="DH2" i="4"/>
  <c r="DG2" i="4"/>
  <c r="DF2" i="4"/>
  <c r="DE2" i="4"/>
  <c r="DD2" i="4"/>
  <c r="DC2" i="4"/>
  <c r="DB2" i="4"/>
  <c r="DA2" i="4"/>
  <c r="CZ2" i="4"/>
  <c r="CY2" i="4"/>
  <c r="CX2" i="4"/>
  <c r="CW2" i="4"/>
  <c r="CV2" i="4"/>
  <c r="CU2" i="4"/>
  <c r="CT2" i="4"/>
  <c r="CS2" i="4"/>
  <c r="CR2" i="4"/>
  <c r="CQ2" i="4"/>
  <c r="CP2" i="4"/>
  <c r="CO2" i="4"/>
  <c r="CN2" i="4"/>
  <c r="CM2" i="4"/>
  <c r="CL2" i="4"/>
  <c r="CK2" i="4"/>
  <c r="CJ2" i="4"/>
  <c r="CI2" i="4"/>
  <c r="CH2" i="4"/>
  <c r="CG2" i="4"/>
  <c r="CF2" i="4"/>
  <c r="CE2" i="4"/>
  <c r="CD2" i="4"/>
  <c r="CC2" i="4"/>
  <c r="CB2" i="4"/>
  <c r="CA2" i="4"/>
  <c r="BZ2" i="4"/>
  <c r="BY2" i="4"/>
  <c r="IT47" i="4"/>
  <c r="IT41" i="4"/>
  <c r="IS27" i="4"/>
  <c r="IT21" i="4"/>
  <c r="IT15" i="4"/>
  <c r="IN6" i="4"/>
  <c r="IM6" i="4"/>
  <c r="HY33" i="4"/>
  <c r="HZ24" i="4"/>
  <c r="HZ18" i="4"/>
  <c r="HT6" i="4"/>
  <c r="HS6" i="4"/>
  <c r="HC30" i="4"/>
  <c r="GO30" i="4"/>
  <c r="FK21" i="4"/>
  <c r="FK15" i="4"/>
  <c r="EU30" i="4"/>
  <c r="EV21" i="4"/>
  <c r="EV15" i="4"/>
  <c r="EP6" i="4"/>
  <c r="EO6" i="4"/>
  <c r="IP190" i="4" l="1"/>
  <c r="IP189" i="4"/>
  <c r="IQ190" i="4" s="1"/>
  <c r="IR167" i="4"/>
  <c r="IR166" i="4"/>
  <c r="IS167" i="4" s="1"/>
  <c r="IP164" i="4"/>
  <c r="IP163" i="4"/>
  <c r="IQ164" i="4" s="1"/>
  <c r="IP120" i="4"/>
  <c r="IP119" i="4"/>
  <c r="IQ120" i="4" s="1"/>
  <c r="IR97" i="4"/>
  <c r="IR96" i="4"/>
  <c r="IS97" i="4" s="1"/>
  <c r="IP94" i="4"/>
  <c r="IP93" i="4"/>
  <c r="IQ94" i="4" s="1"/>
  <c r="HX173" i="4"/>
  <c r="HX172" i="4"/>
  <c r="HY173" i="4" s="1"/>
  <c r="HY167" i="4"/>
  <c r="HX164" i="4"/>
  <c r="HX158" i="4"/>
  <c r="HV4" i="4"/>
  <c r="HV6" i="4" s="1"/>
  <c r="HX103" i="4"/>
  <c r="HX102" i="4"/>
  <c r="HY103" i="4" s="1"/>
  <c r="HY97" i="4"/>
  <c r="HX94" i="4"/>
  <c r="HX88" i="4"/>
  <c r="FG164" i="4"/>
  <c r="FG163" i="4"/>
  <c r="FH164" i="4" s="1"/>
  <c r="FG94" i="4"/>
  <c r="FG93" i="4"/>
  <c r="FH94" i="4" s="1"/>
  <c r="ET170" i="4"/>
  <c r="ET169" i="4"/>
  <c r="EU170" i="4" s="1"/>
  <c r="ER164" i="4"/>
  <c r="ER163" i="4"/>
  <c r="ES164" i="4" s="1"/>
  <c r="EQ145" i="4"/>
  <c r="ER145" i="4" s="1"/>
  <c r="ER146" i="4" s="1"/>
  <c r="EQ75" i="4"/>
  <c r="EQ76" i="4" s="1"/>
  <c r="ER5" i="4"/>
  <c r="ET100" i="4"/>
  <c r="ET99" i="4"/>
  <c r="EU100" i="4" s="1"/>
  <c r="ER94" i="4"/>
  <c r="ER93" i="4"/>
  <c r="ES94" i="4" s="1"/>
  <c r="EQ146" i="4" l="1"/>
  <c r="HU74" i="4"/>
  <c r="HU144" i="4"/>
  <c r="HU145" i="4" s="1"/>
  <c r="HV146" i="4" s="1"/>
  <c r="ER75" i="4"/>
  <c r="ER76" i="4" s="1"/>
  <c r="HV5" i="4"/>
  <c r="HW6" i="4" s="1"/>
  <c r="HU146" i="4"/>
  <c r="IP50" i="4"/>
  <c r="IP49" i="4"/>
  <c r="IQ50" i="4" s="1"/>
  <c r="DF3" i="4"/>
  <c r="DZ3" i="4" s="1"/>
  <c r="DE10" i="4"/>
  <c r="DE11" i="4"/>
  <c r="DE30" i="4"/>
  <c r="EA63" i="4" s="1"/>
  <c r="DF48" i="4"/>
  <c r="DE3" i="4"/>
  <c r="EA3" i="4" s="1"/>
  <c r="IP5" i="4"/>
  <c r="IP6" i="4" s="1"/>
  <c r="IR26" i="4"/>
  <c r="IR27" i="4"/>
  <c r="IP23" i="4"/>
  <c r="IQ24" i="4" s="1"/>
  <c r="IP24" i="4"/>
  <c r="B27" i="4"/>
  <c r="AP124" i="4"/>
  <c r="AP125" i="4"/>
  <c r="AP126" i="4"/>
  <c r="AU126" i="4" s="1"/>
  <c r="AP127" i="4"/>
  <c r="AP128" i="4"/>
  <c r="AP170" i="4"/>
  <c r="AU170" i="4" s="1"/>
  <c r="AP171" i="4"/>
  <c r="AU171" i="4" s="1"/>
  <c r="AP172" i="4"/>
  <c r="AU172" i="4" s="1"/>
  <c r="AP173" i="4"/>
  <c r="AP169" i="4"/>
  <c r="AU169" i="4" s="1"/>
  <c r="B18" i="8"/>
  <c r="B16" i="8"/>
  <c r="B15" i="8"/>
  <c r="B13" i="8"/>
  <c r="B12" i="8"/>
  <c r="B10" i="8"/>
  <c r="B9" i="8"/>
  <c r="B7" i="8"/>
  <c r="B6" i="8"/>
  <c r="B4" i="8"/>
  <c r="B3" i="8"/>
  <c r="BL4" i="6"/>
  <c r="BM3" i="6"/>
  <c r="BM4" i="6"/>
  <c r="BL5" i="6"/>
  <c r="BL6" i="6" s="1"/>
  <c r="B27" i="6"/>
  <c r="C1" i="7"/>
  <c r="AT235" i="6"/>
  <c r="AS235" i="6"/>
  <c r="AR235" i="6"/>
  <c r="AQ235" i="6"/>
  <c r="AP235" i="6"/>
  <c r="AU235" i="6" s="1"/>
  <c r="AT234" i="6"/>
  <c r="AS234" i="6"/>
  <c r="AR234" i="6"/>
  <c r="AQ234" i="6"/>
  <c r="AP234" i="6"/>
  <c r="AU234" i="6" s="1"/>
  <c r="AT233" i="6"/>
  <c r="AS233" i="6"/>
  <c r="AR233" i="6"/>
  <c r="AQ233" i="6"/>
  <c r="AP233" i="6"/>
  <c r="AU233" i="6" s="1"/>
  <c r="AT232" i="6"/>
  <c r="AS232" i="6"/>
  <c r="AR232" i="6"/>
  <c r="AQ232" i="6"/>
  <c r="AP232" i="6"/>
  <c r="AU232" i="6" s="1"/>
  <c r="AT231" i="6"/>
  <c r="AS231" i="6"/>
  <c r="AR231" i="6"/>
  <c r="AQ231" i="6"/>
  <c r="AP231" i="6"/>
  <c r="AU231" i="6" s="1"/>
  <c r="AT230" i="6"/>
  <c r="AS230" i="6"/>
  <c r="AR230" i="6"/>
  <c r="AQ230" i="6"/>
  <c r="AP230" i="6"/>
  <c r="AU230" i="6" s="1"/>
  <c r="AT229" i="6"/>
  <c r="AS229" i="6"/>
  <c r="AR229" i="6"/>
  <c r="AQ229" i="6"/>
  <c r="AP229" i="6"/>
  <c r="AU229" i="6" s="1"/>
  <c r="AT228" i="6"/>
  <c r="AS228" i="6"/>
  <c r="AR228" i="6"/>
  <c r="AQ228" i="6"/>
  <c r="AP228" i="6"/>
  <c r="AU228" i="6"/>
  <c r="AT227" i="6"/>
  <c r="AS227" i="6"/>
  <c r="AR227" i="6"/>
  <c r="AQ227" i="6"/>
  <c r="AP227" i="6"/>
  <c r="AU227" i="6" s="1"/>
  <c r="AT226" i="6"/>
  <c r="AS226" i="6"/>
  <c r="AR226" i="6"/>
  <c r="AQ226" i="6"/>
  <c r="AP226" i="6"/>
  <c r="AU226" i="6" s="1"/>
  <c r="AT225" i="6"/>
  <c r="AS225" i="6"/>
  <c r="AR225" i="6"/>
  <c r="AQ225" i="6"/>
  <c r="AP225" i="6"/>
  <c r="AU225" i="6" s="1"/>
  <c r="AT224" i="6"/>
  <c r="AS224" i="6"/>
  <c r="AR224" i="6"/>
  <c r="AQ224" i="6"/>
  <c r="AP224" i="6"/>
  <c r="AU224" i="6" s="1"/>
  <c r="AT223" i="6"/>
  <c r="AS223" i="6"/>
  <c r="AR223" i="6"/>
  <c r="AQ223" i="6"/>
  <c r="AP223" i="6"/>
  <c r="AU223" i="6" s="1"/>
  <c r="AT222" i="6"/>
  <c r="AS222" i="6"/>
  <c r="AR222" i="6"/>
  <c r="AQ222" i="6"/>
  <c r="AP222" i="6"/>
  <c r="AU222" i="6"/>
  <c r="AT221" i="6"/>
  <c r="AS221" i="6"/>
  <c r="AR221" i="6"/>
  <c r="AQ221" i="6"/>
  <c r="AP221" i="6"/>
  <c r="AU221" i="6" s="1"/>
  <c r="AT220" i="6"/>
  <c r="AS220" i="6"/>
  <c r="AR220" i="6"/>
  <c r="AQ220" i="6"/>
  <c r="AP220" i="6"/>
  <c r="AU220" i="6"/>
  <c r="AT219" i="6"/>
  <c r="AS219" i="6"/>
  <c r="AR219" i="6"/>
  <c r="AQ219" i="6"/>
  <c r="AP219" i="6"/>
  <c r="AU219" i="6" s="1"/>
  <c r="AT218" i="6"/>
  <c r="AS218" i="6"/>
  <c r="AR218" i="6"/>
  <c r="AQ218" i="6"/>
  <c r="AP218" i="6"/>
  <c r="AU218" i="6" s="1"/>
  <c r="AT217" i="6"/>
  <c r="AS217" i="6"/>
  <c r="AR217" i="6"/>
  <c r="AQ217" i="6"/>
  <c r="AP217" i="6"/>
  <c r="AU217" i="6" s="1"/>
  <c r="AT216" i="6"/>
  <c r="AS216" i="6"/>
  <c r="AR216" i="6"/>
  <c r="AQ216" i="6"/>
  <c r="AP216" i="6"/>
  <c r="AU216" i="6" s="1"/>
  <c r="AT215" i="6"/>
  <c r="AS215" i="6"/>
  <c r="AR215" i="6"/>
  <c r="AQ215" i="6"/>
  <c r="AP215" i="6"/>
  <c r="AU215" i="6" s="1"/>
  <c r="AT214" i="6"/>
  <c r="AS214" i="6"/>
  <c r="AR214" i="6"/>
  <c r="AQ214" i="6"/>
  <c r="AP214" i="6"/>
  <c r="AU214" i="6" s="1"/>
  <c r="AT213" i="6"/>
  <c r="AS213" i="6"/>
  <c r="AR213" i="6"/>
  <c r="AQ213" i="6"/>
  <c r="AP213" i="6"/>
  <c r="AU213" i="6" s="1"/>
  <c r="AT212" i="6"/>
  <c r="AS212" i="6"/>
  <c r="AR212" i="6"/>
  <c r="AQ212" i="6"/>
  <c r="AP212" i="6"/>
  <c r="AU212" i="6"/>
  <c r="AT211" i="6"/>
  <c r="AS211" i="6"/>
  <c r="AR211" i="6"/>
  <c r="AQ211" i="6"/>
  <c r="AP211" i="6"/>
  <c r="AU211" i="6" s="1"/>
  <c r="AT210" i="6"/>
  <c r="AS210" i="6"/>
  <c r="AR210" i="6"/>
  <c r="AQ210" i="6"/>
  <c r="AP210" i="6"/>
  <c r="AU210" i="6" s="1"/>
  <c r="AT209" i="6"/>
  <c r="AS209" i="6"/>
  <c r="AR209" i="6"/>
  <c r="AQ209" i="6"/>
  <c r="AP209" i="6"/>
  <c r="AU209" i="6" s="1"/>
  <c r="AT208" i="6"/>
  <c r="AS208" i="6"/>
  <c r="AR208" i="6"/>
  <c r="AQ208" i="6"/>
  <c r="AP208" i="6"/>
  <c r="AU208" i="6" s="1"/>
  <c r="AT207" i="6"/>
  <c r="AS207" i="6"/>
  <c r="AR207" i="6"/>
  <c r="AQ207" i="6"/>
  <c r="AP207" i="6"/>
  <c r="AU207" i="6" s="1"/>
  <c r="AT206" i="6"/>
  <c r="AS206" i="6"/>
  <c r="AR206" i="6"/>
  <c r="AQ206" i="6"/>
  <c r="AP206" i="6"/>
  <c r="AU206" i="6"/>
  <c r="AT205" i="6"/>
  <c r="AS205" i="6"/>
  <c r="AR205" i="6"/>
  <c r="AQ205" i="6"/>
  <c r="AP205" i="6"/>
  <c r="AU205" i="6" s="1"/>
  <c r="AT204" i="6"/>
  <c r="AS204" i="6"/>
  <c r="AR204" i="6"/>
  <c r="AQ204" i="6"/>
  <c r="AP204" i="6"/>
  <c r="AU204" i="6"/>
  <c r="AT203" i="6"/>
  <c r="AS203" i="6"/>
  <c r="AR203" i="6"/>
  <c r="AQ203" i="6"/>
  <c r="AP203" i="6"/>
  <c r="AU203" i="6" s="1"/>
  <c r="AT202" i="6"/>
  <c r="AS202" i="6"/>
  <c r="AR202" i="6"/>
  <c r="AQ202" i="6"/>
  <c r="AP202" i="6"/>
  <c r="AU202" i="6" s="1"/>
  <c r="AT201" i="6"/>
  <c r="AS201" i="6"/>
  <c r="AR201" i="6"/>
  <c r="AQ201" i="6"/>
  <c r="AP201" i="6"/>
  <c r="AU201" i="6" s="1"/>
  <c r="AT200" i="6"/>
  <c r="AS200" i="6"/>
  <c r="AR200" i="6"/>
  <c r="AQ200" i="6"/>
  <c r="AP200" i="6"/>
  <c r="AU200" i="6" s="1"/>
  <c r="AT199" i="6"/>
  <c r="AS199" i="6"/>
  <c r="AR199" i="6"/>
  <c r="AQ199" i="6"/>
  <c r="AP199" i="6"/>
  <c r="AU199" i="6" s="1"/>
  <c r="AT198" i="6"/>
  <c r="AS198" i="6"/>
  <c r="AR198" i="6"/>
  <c r="AQ198" i="6"/>
  <c r="AP198" i="6"/>
  <c r="AU198" i="6" s="1"/>
  <c r="AT197" i="6"/>
  <c r="AS197" i="6"/>
  <c r="AR197" i="6"/>
  <c r="AQ197" i="6"/>
  <c r="AP197" i="6"/>
  <c r="AU197" i="6" s="1"/>
  <c r="AT196" i="6"/>
  <c r="AS196" i="6"/>
  <c r="AR196" i="6"/>
  <c r="AQ196" i="6"/>
  <c r="AP196" i="6"/>
  <c r="AU196" i="6"/>
  <c r="AT195" i="6"/>
  <c r="AS195" i="6"/>
  <c r="AR195" i="6"/>
  <c r="AQ195" i="6"/>
  <c r="AP195" i="6"/>
  <c r="AU195" i="6" s="1"/>
  <c r="AT194" i="6"/>
  <c r="AS194" i="6"/>
  <c r="AR194" i="6"/>
  <c r="AQ194" i="6"/>
  <c r="AP194" i="6"/>
  <c r="AU194" i="6" s="1"/>
  <c r="AT193" i="6"/>
  <c r="AS193" i="6"/>
  <c r="AR193" i="6"/>
  <c r="AQ193" i="6"/>
  <c r="AP193" i="6"/>
  <c r="AU193" i="6" s="1"/>
  <c r="AT192" i="6"/>
  <c r="AS192" i="6"/>
  <c r="AR192" i="6"/>
  <c r="AQ192" i="6"/>
  <c r="AP192" i="6"/>
  <c r="AU192" i="6" s="1"/>
  <c r="AT191" i="6"/>
  <c r="AS191" i="6"/>
  <c r="AR191" i="6"/>
  <c r="AQ191" i="6"/>
  <c r="AP191" i="6"/>
  <c r="AU191" i="6" s="1"/>
  <c r="AT190" i="6"/>
  <c r="AS190" i="6"/>
  <c r="AR190" i="6"/>
  <c r="AQ190" i="6"/>
  <c r="AP190" i="6"/>
  <c r="AU190" i="6"/>
  <c r="AT189" i="6"/>
  <c r="AS189" i="6"/>
  <c r="AR189" i="6"/>
  <c r="AQ189" i="6"/>
  <c r="AP189" i="6"/>
  <c r="AU189" i="6" s="1"/>
  <c r="AT188" i="6"/>
  <c r="AS188" i="6"/>
  <c r="AR188" i="6"/>
  <c r="AQ188" i="6"/>
  <c r="AP188" i="6"/>
  <c r="AU188" i="6"/>
  <c r="AT187" i="6"/>
  <c r="AS187" i="6"/>
  <c r="AR187" i="6"/>
  <c r="AQ187" i="6"/>
  <c r="AP187" i="6"/>
  <c r="AU187" i="6" s="1"/>
  <c r="AT186" i="6"/>
  <c r="AS186" i="6"/>
  <c r="AR186" i="6"/>
  <c r="AQ186" i="6"/>
  <c r="AP186" i="6"/>
  <c r="AU186" i="6" s="1"/>
  <c r="AT185" i="6"/>
  <c r="AS185" i="6"/>
  <c r="AR185" i="6"/>
  <c r="AQ185" i="6"/>
  <c r="AP185" i="6"/>
  <c r="AU185" i="6" s="1"/>
  <c r="AT184" i="6"/>
  <c r="AS184" i="6"/>
  <c r="AR184" i="6"/>
  <c r="AQ184" i="6"/>
  <c r="AP184" i="6"/>
  <c r="AU184" i="6" s="1"/>
  <c r="AT183" i="6"/>
  <c r="AS183" i="6"/>
  <c r="AR183" i="6"/>
  <c r="AQ183" i="6"/>
  <c r="AP183" i="6"/>
  <c r="AU183" i="6" s="1"/>
  <c r="AT182" i="6"/>
  <c r="AS182" i="6"/>
  <c r="AR182" i="6"/>
  <c r="AQ182" i="6"/>
  <c r="AP182" i="6"/>
  <c r="AU182" i="6" s="1"/>
  <c r="AT181" i="6"/>
  <c r="AS181" i="6"/>
  <c r="AR181" i="6"/>
  <c r="AQ181" i="6"/>
  <c r="AP181" i="6"/>
  <c r="AU181" i="6" s="1"/>
  <c r="AT180" i="6"/>
  <c r="AS180" i="6"/>
  <c r="AR180" i="6"/>
  <c r="AQ180" i="6"/>
  <c r="AP180" i="6"/>
  <c r="AU180" i="6"/>
  <c r="AT179" i="6"/>
  <c r="AS179" i="6"/>
  <c r="AR179" i="6"/>
  <c r="AQ179" i="6"/>
  <c r="AP179" i="6"/>
  <c r="AU179" i="6" s="1"/>
  <c r="AT178" i="6"/>
  <c r="AS178" i="6"/>
  <c r="AR178" i="6"/>
  <c r="AQ178" i="6"/>
  <c r="AP178" i="6"/>
  <c r="AU178" i="6" s="1"/>
  <c r="AT177" i="6"/>
  <c r="AS177" i="6"/>
  <c r="AR177" i="6"/>
  <c r="AQ177" i="6"/>
  <c r="AP177" i="6"/>
  <c r="AU177" i="6" s="1"/>
  <c r="AT176" i="6"/>
  <c r="AS176" i="6"/>
  <c r="AR176" i="6"/>
  <c r="AQ176" i="6"/>
  <c r="AP176" i="6"/>
  <c r="AU176" i="6" s="1"/>
  <c r="AT175" i="6"/>
  <c r="AS175" i="6"/>
  <c r="AR175" i="6"/>
  <c r="AQ175" i="6"/>
  <c r="AP175" i="6"/>
  <c r="AU175" i="6" s="1"/>
  <c r="AT174" i="6"/>
  <c r="AS174" i="6"/>
  <c r="AR174" i="6"/>
  <c r="AQ174" i="6"/>
  <c r="AP174" i="6"/>
  <c r="AU174" i="6"/>
  <c r="AT173" i="6"/>
  <c r="AS173" i="6"/>
  <c r="AR173" i="6"/>
  <c r="AQ173" i="6"/>
  <c r="AP173" i="6"/>
  <c r="AU173" i="6" s="1"/>
  <c r="AT172" i="6"/>
  <c r="AS172" i="6"/>
  <c r="AR172" i="6"/>
  <c r="AQ172" i="6"/>
  <c r="AP172" i="6"/>
  <c r="AU172" i="6"/>
  <c r="AT171" i="6"/>
  <c r="AS171" i="6"/>
  <c r="AR171" i="6"/>
  <c r="AQ171" i="6"/>
  <c r="AP171" i="6"/>
  <c r="AU171" i="6" s="1"/>
  <c r="AT170" i="6"/>
  <c r="AS170" i="6"/>
  <c r="AR170" i="6"/>
  <c r="AQ170" i="6"/>
  <c r="AP170" i="6"/>
  <c r="AU170" i="6" s="1"/>
  <c r="AT169" i="6"/>
  <c r="AS169" i="6"/>
  <c r="AR169" i="6"/>
  <c r="AQ169" i="6"/>
  <c r="AP169" i="6"/>
  <c r="AU169" i="6" s="1"/>
  <c r="AT168" i="6"/>
  <c r="AS168" i="6"/>
  <c r="AR168" i="6"/>
  <c r="AQ168" i="6"/>
  <c r="AP168" i="6"/>
  <c r="AU168" i="6" s="1"/>
  <c r="AT167" i="6"/>
  <c r="AS167" i="6"/>
  <c r="AR167" i="6"/>
  <c r="AQ167" i="6"/>
  <c r="AP167" i="6"/>
  <c r="AU167" i="6" s="1"/>
  <c r="AT166" i="6"/>
  <c r="AS166" i="6"/>
  <c r="AR166" i="6"/>
  <c r="AQ166" i="6"/>
  <c r="AP166" i="6"/>
  <c r="AU166" i="6" s="1"/>
  <c r="AT165" i="6"/>
  <c r="AS165" i="6"/>
  <c r="AR165" i="6"/>
  <c r="AQ165" i="6"/>
  <c r="AP165" i="6"/>
  <c r="AU165" i="6" s="1"/>
  <c r="AT164" i="6"/>
  <c r="AS164" i="6"/>
  <c r="AR164" i="6"/>
  <c r="AQ164" i="6"/>
  <c r="AP164" i="6"/>
  <c r="AU164" i="6"/>
  <c r="AT163" i="6"/>
  <c r="AS163" i="6"/>
  <c r="AR163" i="6"/>
  <c r="AQ163" i="6"/>
  <c r="AP163" i="6"/>
  <c r="AU163" i="6" s="1"/>
  <c r="AT162" i="6"/>
  <c r="AS162" i="6"/>
  <c r="AR162" i="6"/>
  <c r="AQ162" i="6"/>
  <c r="AP162" i="6"/>
  <c r="AU162" i="6" s="1"/>
  <c r="AT161" i="6"/>
  <c r="AS161" i="6"/>
  <c r="AR161" i="6"/>
  <c r="AQ161" i="6"/>
  <c r="AP161" i="6"/>
  <c r="AU161" i="6" s="1"/>
  <c r="AT160" i="6"/>
  <c r="AS160" i="6"/>
  <c r="AR160" i="6"/>
  <c r="AQ160" i="6"/>
  <c r="AP160" i="6"/>
  <c r="AU160" i="6" s="1"/>
  <c r="AT159" i="6"/>
  <c r="AS159" i="6"/>
  <c r="AR159" i="6"/>
  <c r="AQ159" i="6"/>
  <c r="AP159" i="6"/>
  <c r="AU159" i="6" s="1"/>
  <c r="AT158" i="6"/>
  <c r="AS158" i="6"/>
  <c r="AR158" i="6"/>
  <c r="AQ158" i="6"/>
  <c r="AP158" i="6"/>
  <c r="AU158" i="6" s="1"/>
  <c r="AT157" i="6"/>
  <c r="AS157" i="6"/>
  <c r="AR157" i="6"/>
  <c r="AQ157" i="6"/>
  <c r="AP157" i="6"/>
  <c r="AU157" i="6" s="1"/>
  <c r="AT156" i="6"/>
  <c r="AS156" i="6"/>
  <c r="AR156" i="6"/>
  <c r="AQ156" i="6"/>
  <c r="AP156" i="6"/>
  <c r="AU156" i="6" s="1"/>
  <c r="AT155" i="6"/>
  <c r="AS155" i="6"/>
  <c r="AR155" i="6"/>
  <c r="AQ155" i="6"/>
  <c r="AP155" i="6"/>
  <c r="AU155" i="6" s="1"/>
  <c r="AT154" i="6"/>
  <c r="AS154" i="6"/>
  <c r="AR154" i="6"/>
  <c r="AQ154" i="6"/>
  <c r="AP154" i="6"/>
  <c r="AU154" i="6"/>
  <c r="AT153" i="6"/>
  <c r="AS153" i="6"/>
  <c r="AR153" i="6"/>
  <c r="AQ153" i="6"/>
  <c r="AP153" i="6"/>
  <c r="AU153" i="6" s="1"/>
  <c r="AT152" i="6"/>
  <c r="AS152" i="6"/>
  <c r="AR152" i="6"/>
  <c r="AQ152" i="6"/>
  <c r="AP152" i="6"/>
  <c r="AU152" i="6"/>
  <c r="AT151" i="6"/>
  <c r="AS151" i="6"/>
  <c r="AR151" i="6"/>
  <c r="AQ151" i="6"/>
  <c r="AP151" i="6"/>
  <c r="AU151" i="6" s="1"/>
  <c r="AT150" i="6"/>
  <c r="AS150" i="6"/>
  <c r="AR150" i="6"/>
  <c r="AQ150" i="6"/>
  <c r="AP150" i="6"/>
  <c r="AU150" i="6"/>
  <c r="AT149" i="6"/>
  <c r="AS149" i="6"/>
  <c r="AR149" i="6"/>
  <c r="AQ149" i="6"/>
  <c r="AP149" i="6"/>
  <c r="AU149" i="6" s="1"/>
  <c r="AT148" i="6"/>
  <c r="AS148" i="6"/>
  <c r="AR148" i="6"/>
  <c r="AQ148" i="6"/>
  <c r="AP148" i="6"/>
  <c r="AU148" i="6"/>
  <c r="AT147" i="6"/>
  <c r="AS147" i="6"/>
  <c r="AR147" i="6"/>
  <c r="AQ147" i="6"/>
  <c r="AP147" i="6"/>
  <c r="AU147" i="6" s="1"/>
  <c r="AT146" i="6"/>
  <c r="AS146" i="6"/>
  <c r="AR146" i="6"/>
  <c r="AQ146" i="6"/>
  <c r="AP146" i="6"/>
  <c r="AU146" i="6"/>
  <c r="AT145" i="6"/>
  <c r="AS145" i="6"/>
  <c r="AR145" i="6"/>
  <c r="AQ145" i="6"/>
  <c r="AP145" i="6"/>
  <c r="AU145" i="6" s="1"/>
  <c r="AT144" i="6"/>
  <c r="AS144" i="6"/>
  <c r="AR144" i="6"/>
  <c r="AQ144" i="6"/>
  <c r="AP144" i="6"/>
  <c r="AU144" i="6"/>
  <c r="AT143" i="6"/>
  <c r="AS143" i="6"/>
  <c r="AR143" i="6"/>
  <c r="AQ143" i="6"/>
  <c r="AP143" i="6"/>
  <c r="AU143" i="6" s="1"/>
  <c r="AT142" i="6"/>
  <c r="AS142" i="6"/>
  <c r="AR142" i="6"/>
  <c r="AQ142" i="6"/>
  <c r="AP142" i="6"/>
  <c r="AU142" i="6"/>
  <c r="AT141" i="6"/>
  <c r="AS141" i="6"/>
  <c r="AR141" i="6"/>
  <c r="AQ141" i="6"/>
  <c r="AP141" i="6"/>
  <c r="AU141" i="6" s="1"/>
  <c r="AT140" i="6"/>
  <c r="AS140" i="6"/>
  <c r="AR140" i="6"/>
  <c r="AQ140" i="6"/>
  <c r="AP140" i="6"/>
  <c r="AU140" i="6"/>
  <c r="AT139" i="6"/>
  <c r="AS139" i="6"/>
  <c r="AR139" i="6"/>
  <c r="AQ139" i="6"/>
  <c r="AP139" i="6"/>
  <c r="AU139" i="6" s="1"/>
  <c r="AT138" i="6"/>
  <c r="AS138" i="6"/>
  <c r="AR138" i="6"/>
  <c r="AQ138" i="6"/>
  <c r="AP138" i="6"/>
  <c r="AU138" i="6" s="1"/>
  <c r="AT137" i="6"/>
  <c r="AS137" i="6"/>
  <c r="AR137" i="6"/>
  <c r="AQ137" i="6"/>
  <c r="AP137" i="6"/>
  <c r="AU137" i="6" s="1"/>
  <c r="AT136" i="6"/>
  <c r="AS136" i="6"/>
  <c r="AR136" i="6"/>
  <c r="AQ136" i="6"/>
  <c r="AP136" i="6"/>
  <c r="AU136" i="6" s="1"/>
  <c r="AT135" i="6"/>
  <c r="AS135" i="6"/>
  <c r="AR135" i="6"/>
  <c r="AQ135" i="6"/>
  <c r="AP135" i="6"/>
  <c r="AU135" i="6"/>
  <c r="AT134" i="6"/>
  <c r="AS134" i="6"/>
  <c r="AR134" i="6"/>
  <c r="AQ134" i="6"/>
  <c r="AP134" i="6"/>
  <c r="AU134" i="6" s="1"/>
  <c r="AT133" i="6"/>
  <c r="AS133" i="6"/>
  <c r="AR133" i="6"/>
  <c r="AQ133" i="6"/>
  <c r="AP133" i="6"/>
  <c r="AU133" i="6" s="1"/>
  <c r="AT132" i="6"/>
  <c r="AS132" i="6"/>
  <c r="AR132" i="6"/>
  <c r="AQ132" i="6"/>
  <c r="AP132" i="6"/>
  <c r="AU132" i="6"/>
  <c r="AT131" i="6"/>
  <c r="AS131" i="6"/>
  <c r="AR131" i="6"/>
  <c r="AQ131" i="6"/>
  <c r="AP131" i="6"/>
  <c r="AU131" i="6" s="1"/>
  <c r="AT130" i="6"/>
  <c r="AS130" i="6"/>
  <c r="AR130" i="6"/>
  <c r="AQ130" i="6"/>
  <c r="AP130" i="6"/>
  <c r="AU130" i="6"/>
  <c r="AT129" i="6"/>
  <c r="AS129" i="6"/>
  <c r="AR129" i="6"/>
  <c r="AQ129" i="6"/>
  <c r="AP129" i="6"/>
  <c r="AU129" i="6" s="1"/>
  <c r="AT128" i="6"/>
  <c r="AS128" i="6"/>
  <c r="AR128" i="6"/>
  <c r="AQ128" i="6"/>
  <c r="AP128" i="6"/>
  <c r="AU128" i="6" s="1"/>
  <c r="AT127" i="6"/>
  <c r="AS127" i="6"/>
  <c r="AR127" i="6"/>
  <c r="AQ127" i="6"/>
  <c r="AP127" i="6"/>
  <c r="AU127" i="6" s="1"/>
  <c r="AT126" i="6"/>
  <c r="AS126" i="6"/>
  <c r="AR126" i="6"/>
  <c r="AQ126" i="6"/>
  <c r="AP126" i="6"/>
  <c r="AU126" i="6" s="1"/>
  <c r="AT125" i="6"/>
  <c r="AS125" i="6"/>
  <c r="AR125" i="6"/>
  <c r="AQ125" i="6"/>
  <c r="AP125" i="6"/>
  <c r="AU125" i="6" s="1"/>
  <c r="AT124" i="6"/>
  <c r="AS124" i="6"/>
  <c r="AR124" i="6"/>
  <c r="AQ124" i="6"/>
  <c r="AP124" i="6"/>
  <c r="AU124" i="6"/>
  <c r="AT123" i="6"/>
  <c r="AS123" i="6"/>
  <c r="AR123" i="6"/>
  <c r="AQ123" i="6"/>
  <c r="AP123" i="6"/>
  <c r="AU123" i="6" s="1"/>
  <c r="AT122" i="6"/>
  <c r="AS122" i="6"/>
  <c r="AR122" i="6"/>
  <c r="AQ122" i="6"/>
  <c r="AP122" i="6"/>
  <c r="AU122" i="6" s="1"/>
  <c r="AT121" i="6"/>
  <c r="AS121" i="6"/>
  <c r="AR121" i="6"/>
  <c r="AQ121" i="6"/>
  <c r="AP121" i="6"/>
  <c r="AU121" i="6" s="1"/>
  <c r="AT120" i="6"/>
  <c r="AS120" i="6"/>
  <c r="AR120" i="6"/>
  <c r="AQ120" i="6"/>
  <c r="AP120" i="6"/>
  <c r="AU120" i="6" s="1"/>
  <c r="AT119" i="6"/>
  <c r="AS119" i="6"/>
  <c r="AR119" i="6"/>
  <c r="AQ119" i="6"/>
  <c r="AP119" i="6"/>
  <c r="AU119" i="6" s="1"/>
  <c r="AT118" i="6"/>
  <c r="AS118" i="6"/>
  <c r="AR118" i="6"/>
  <c r="AQ118" i="6"/>
  <c r="AP118" i="6"/>
  <c r="AU118" i="6" s="1"/>
  <c r="AT117" i="6"/>
  <c r="AS117" i="6"/>
  <c r="AR117" i="6"/>
  <c r="AQ117" i="6"/>
  <c r="AP117" i="6"/>
  <c r="AU117" i="6" s="1"/>
  <c r="AT116" i="6"/>
  <c r="AS116" i="6"/>
  <c r="AR116" i="6"/>
  <c r="AQ116" i="6"/>
  <c r="AP116" i="6"/>
  <c r="AU116" i="6" s="1"/>
  <c r="AT115" i="6"/>
  <c r="AS115" i="6"/>
  <c r="AR115" i="6"/>
  <c r="AQ115" i="6"/>
  <c r="AP115" i="6"/>
  <c r="AU115" i="6" s="1"/>
  <c r="AT114" i="6"/>
  <c r="AS114" i="6"/>
  <c r="AR114" i="6"/>
  <c r="AQ114" i="6"/>
  <c r="AP114" i="6"/>
  <c r="AU114" i="6" s="1"/>
  <c r="AT113" i="6"/>
  <c r="AS113" i="6"/>
  <c r="AR113" i="6"/>
  <c r="AQ113" i="6"/>
  <c r="AP113" i="6"/>
  <c r="AU113" i="6" s="1"/>
  <c r="AT112" i="6"/>
  <c r="AS112" i="6"/>
  <c r="AR112" i="6"/>
  <c r="AQ112" i="6"/>
  <c r="AP112" i="6"/>
  <c r="AU112" i="6" s="1"/>
  <c r="AT111" i="6"/>
  <c r="AS111" i="6"/>
  <c r="AR111" i="6"/>
  <c r="AQ111" i="6"/>
  <c r="AP111" i="6"/>
  <c r="AU111" i="6" s="1"/>
  <c r="AT110" i="6"/>
  <c r="AS110" i="6"/>
  <c r="AR110" i="6"/>
  <c r="AQ110" i="6"/>
  <c r="AP110" i="6"/>
  <c r="AU110" i="6" s="1"/>
  <c r="AT109" i="6"/>
  <c r="AS109" i="6"/>
  <c r="AR109" i="6"/>
  <c r="AQ109" i="6"/>
  <c r="AP109" i="6"/>
  <c r="AU109" i="6" s="1"/>
  <c r="AT108" i="6"/>
  <c r="AS108" i="6"/>
  <c r="AR108" i="6"/>
  <c r="AQ108" i="6"/>
  <c r="AP108" i="6"/>
  <c r="AU108" i="6" s="1"/>
  <c r="AT107" i="6"/>
  <c r="AS107" i="6"/>
  <c r="AR107" i="6"/>
  <c r="AQ107" i="6"/>
  <c r="AP107" i="6"/>
  <c r="AU107" i="6" s="1"/>
  <c r="AT106" i="6"/>
  <c r="AS106" i="6"/>
  <c r="AR106" i="6"/>
  <c r="AQ106" i="6"/>
  <c r="AP106" i="6"/>
  <c r="AU106" i="6"/>
  <c r="AT105" i="6"/>
  <c r="AS105" i="6"/>
  <c r="AR105" i="6"/>
  <c r="AQ105" i="6"/>
  <c r="AP105" i="6"/>
  <c r="AU105" i="6" s="1"/>
  <c r="AT104" i="6"/>
  <c r="AS104" i="6"/>
  <c r="AR104" i="6"/>
  <c r="AQ104" i="6"/>
  <c r="AP104" i="6"/>
  <c r="AU104" i="6" s="1"/>
  <c r="AT103" i="6"/>
  <c r="AS103" i="6"/>
  <c r="AR103" i="6"/>
  <c r="AQ103" i="6"/>
  <c r="AP103" i="6"/>
  <c r="AT102" i="6"/>
  <c r="AS102" i="6"/>
  <c r="AR102" i="6"/>
  <c r="AQ102" i="6"/>
  <c r="AP102" i="6"/>
  <c r="AU102" i="6" s="1"/>
  <c r="AT101" i="6"/>
  <c r="AS101" i="6"/>
  <c r="AR101" i="6"/>
  <c r="AQ101" i="6"/>
  <c r="AP101" i="6"/>
  <c r="AU101" i="6" s="1"/>
  <c r="AT100" i="6"/>
  <c r="AS100" i="6"/>
  <c r="AR100" i="6"/>
  <c r="AQ100" i="6"/>
  <c r="AP100" i="6"/>
  <c r="AU100" i="6" s="1"/>
  <c r="AT99" i="6"/>
  <c r="AS99" i="6"/>
  <c r="AR99" i="6"/>
  <c r="AQ99" i="6"/>
  <c r="AP99" i="6"/>
  <c r="AU99" i="6"/>
  <c r="AT98" i="6"/>
  <c r="AS98" i="6"/>
  <c r="AR98" i="6"/>
  <c r="AQ98" i="6"/>
  <c r="AP98" i="6"/>
  <c r="AU98" i="6" s="1"/>
  <c r="I98" i="6"/>
  <c r="AT97" i="6"/>
  <c r="AS97" i="6"/>
  <c r="AR97" i="6"/>
  <c r="AQ97" i="6"/>
  <c r="AP97" i="6"/>
  <c r="AU97" i="6" s="1"/>
  <c r="I97" i="6"/>
  <c r="BY96" i="6"/>
  <c r="AT96" i="6"/>
  <c r="AS96" i="6"/>
  <c r="AR96" i="6"/>
  <c r="AQ96" i="6"/>
  <c r="AP96" i="6"/>
  <c r="I96" i="6"/>
  <c r="BY95" i="6"/>
  <c r="AT95" i="6"/>
  <c r="AS95" i="6"/>
  <c r="AR95" i="6"/>
  <c r="AQ95" i="6"/>
  <c r="AP95" i="6"/>
  <c r="BY94" i="6"/>
  <c r="AT94" i="6"/>
  <c r="AS94" i="6"/>
  <c r="AR94" i="6"/>
  <c r="AQ94" i="6"/>
  <c r="AP94" i="6"/>
  <c r="BY93" i="6"/>
  <c r="AT93" i="6"/>
  <c r="AS93" i="6"/>
  <c r="AR93" i="6"/>
  <c r="AQ93" i="6"/>
  <c r="AP93" i="6"/>
  <c r="I93" i="6"/>
  <c r="BY92" i="6"/>
  <c r="AT92" i="6"/>
  <c r="AS92" i="6"/>
  <c r="AR92" i="6"/>
  <c r="AQ92" i="6"/>
  <c r="AP92" i="6"/>
  <c r="AU92" i="6" s="1"/>
  <c r="BY91" i="6"/>
  <c r="AT91" i="6"/>
  <c r="AS91" i="6"/>
  <c r="AR91" i="6"/>
  <c r="AQ91" i="6"/>
  <c r="AP91" i="6"/>
  <c r="I91" i="6"/>
  <c r="BY90" i="6"/>
  <c r="AT90" i="6"/>
  <c r="AS90" i="6"/>
  <c r="AR90" i="6"/>
  <c r="AQ90" i="6"/>
  <c r="AP90" i="6"/>
  <c r="AU90" i="6" s="1"/>
  <c r="BY89" i="6"/>
  <c r="AT89" i="6"/>
  <c r="AS89" i="6"/>
  <c r="AR89" i="6"/>
  <c r="AQ89" i="6"/>
  <c r="AP89" i="6"/>
  <c r="AU89" i="6" s="1"/>
  <c r="BY88" i="6"/>
  <c r="AT88" i="6"/>
  <c r="AS88" i="6"/>
  <c r="AR88" i="6"/>
  <c r="AQ88" i="6"/>
  <c r="AP88" i="6"/>
  <c r="AU88" i="6"/>
  <c r="I88" i="6"/>
  <c r="BY87" i="6"/>
  <c r="AT87" i="6"/>
  <c r="AS87" i="6"/>
  <c r="AR87" i="6"/>
  <c r="AQ87" i="6"/>
  <c r="AP87" i="6"/>
  <c r="I87" i="6"/>
  <c r="BY86" i="6"/>
  <c r="AT86" i="6"/>
  <c r="AS86" i="6"/>
  <c r="AR86" i="6"/>
  <c r="AQ86" i="6"/>
  <c r="AP86" i="6"/>
  <c r="AU86" i="6" s="1"/>
  <c r="I86" i="6"/>
  <c r="BY85" i="6"/>
  <c r="AT85" i="6"/>
  <c r="AS85" i="6"/>
  <c r="AR85" i="6"/>
  <c r="AQ85" i="6"/>
  <c r="AP85" i="6"/>
  <c r="AU85" i="6" s="1"/>
  <c r="I85" i="6"/>
  <c r="BY84" i="6"/>
  <c r="AT84" i="6"/>
  <c r="AS84" i="6"/>
  <c r="AR84" i="6"/>
  <c r="AQ84" i="6"/>
  <c r="AP84" i="6"/>
  <c r="AU84" i="6"/>
  <c r="I84" i="6"/>
  <c r="BY83" i="6"/>
  <c r="AT83" i="6"/>
  <c r="AS83" i="6"/>
  <c r="AR83" i="6"/>
  <c r="AQ83" i="6"/>
  <c r="AP83" i="6"/>
  <c r="AU83" i="6"/>
  <c r="I83" i="6"/>
  <c r="BY82" i="6"/>
  <c r="AT82" i="6"/>
  <c r="AS82" i="6"/>
  <c r="AR82" i="6"/>
  <c r="AQ82" i="6"/>
  <c r="AP82" i="6"/>
  <c r="AU82" i="6"/>
  <c r="I82" i="6"/>
  <c r="BY81" i="6"/>
  <c r="AT81" i="6"/>
  <c r="AS81" i="6"/>
  <c r="AR81" i="6"/>
  <c r="AQ81" i="6"/>
  <c r="AP81" i="6"/>
  <c r="BY80" i="6"/>
  <c r="AT80" i="6"/>
  <c r="AS80" i="6"/>
  <c r="AR80" i="6"/>
  <c r="AQ80" i="6"/>
  <c r="AP80" i="6"/>
  <c r="AU80" i="6" s="1"/>
  <c r="BY79" i="6"/>
  <c r="AT79" i="6"/>
  <c r="AS79" i="6"/>
  <c r="AR79" i="6"/>
  <c r="AQ79" i="6"/>
  <c r="AP79" i="6"/>
  <c r="AU79" i="6" s="1"/>
  <c r="I79" i="6"/>
  <c r="BY78" i="6"/>
  <c r="AT78" i="6"/>
  <c r="AS78" i="6"/>
  <c r="AR78" i="6"/>
  <c r="AQ78" i="6"/>
  <c r="AP78" i="6"/>
  <c r="AU78" i="6"/>
  <c r="I78" i="6"/>
  <c r="B31" i="6" s="1"/>
  <c r="BY77" i="6"/>
  <c r="AT77" i="6"/>
  <c r="AS77" i="6"/>
  <c r="AR77" i="6"/>
  <c r="AQ77" i="6"/>
  <c r="AP77" i="6"/>
  <c r="AU77" i="6"/>
  <c r="I77" i="6"/>
  <c r="B30" i="6" s="1"/>
  <c r="BY76" i="6"/>
  <c r="AT76" i="6"/>
  <c r="AS76" i="6"/>
  <c r="AR76" i="6"/>
  <c r="AQ76" i="6"/>
  <c r="AP76" i="6"/>
  <c r="AU76" i="6"/>
  <c r="I76" i="6"/>
  <c r="B29" i="6"/>
  <c r="BY75" i="6"/>
  <c r="AT75" i="6"/>
  <c r="AS75" i="6"/>
  <c r="AR75" i="6"/>
  <c r="AQ75" i="6"/>
  <c r="AP75" i="6"/>
  <c r="AU75" i="6" s="1"/>
  <c r="I75" i="6"/>
  <c r="BY74" i="6"/>
  <c r="AT74" i="6"/>
  <c r="AS74" i="6"/>
  <c r="AR74" i="6"/>
  <c r="AQ74" i="6"/>
  <c r="AP74" i="6"/>
  <c r="AU74" i="6" s="1"/>
  <c r="I74" i="6"/>
  <c r="BY73" i="6"/>
  <c r="AT73" i="6"/>
  <c r="AS73" i="6"/>
  <c r="AR73" i="6"/>
  <c r="AQ73" i="6"/>
  <c r="AP73" i="6"/>
  <c r="AU73" i="6" s="1"/>
  <c r="I73" i="6"/>
  <c r="BY72" i="6"/>
  <c r="AT72" i="6"/>
  <c r="AS72" i="6"/>
  <c r="AR72" i="6"/>
  <c r="AQ72" i="6"/>
  <c r="AP72" i="6"/>
  <c r="AU72" i="6" s="1"/>
  <c r="I72" i="6"/>
  <c r="B26" i="6" s="1"/>
  <c r="BY71" i="6"/>
  <c r="AT71" i="6"/>
  <c r="AS71" i="6"/>
  <c r="AR71" i="6"/>
  <c r="AQ71" i="6"/>
  <c r="AP71" i="6"/>
  <c r="I71" i="6"/>
  <c r="B25" i="6" s="1"/>
  <c r="BY70" i="6"/>
  <c r="AT70" i="6"/>
  <c r="AS70" i="6"/>
  <c r="AR70" i="6"/>
  <c r="AQ70" i="6"/>
  <c r="AP70" i="6"/>
  <c r="AU70" i="6" s="1"/>
  <c r="I70" i="6"/>
  <c r="BY69" i="6"/>
  <c r="AT69" i="6"/>
  <c r="AS69" i="6"/>
  <c r="AR69" i="6"/>
  <c r="AQ69" i="6"/>
  <c r="AP69" i="6"/>
  <c r="AU69" i="6"/>
  <c r="I69" i="6"/>
  <c r="BY68" i="6"/>
  <c r="AT68" i="6"/>
  <c r="AS68" i="6"/>
  <c r="AR68" i="6"/>
  <c r="AQ68" i="6"/>
  <c r="AP68" i="6"/>
  <c r="AU68" i="6"/>
  <c r="I68" i="6"/>
  <c r="B22" i="6" s="1"/>
  <c r="BY67" i="6"/>
  <c r="AT67" i="6"/>
  <c r="AS67" i="6"/>
  <c r="AR67" i="6"/>
  <c r="AQ67" i="6"/>
  <c r="AP67" i="6"/>
  <c r="AU67" i="6" s="1"/>
  <c r="BY66" i="6"/>
  <c r="AT66" i="6"/>
  <c r="AS66" i="6"/>
  <c r="AR66" i="6"/>
  <c r="AQ66" i="6"/>
  <c r="AP66" i="6"/>
  <c r="AU66" i="6"/>
  <c r="I66" i="6"/>
  <c r="BY65" i="6"/>
  <c r="AT65" i="6"/>
  <c r="AS65" i="6"/>
  <c r="AR65" i="6"/>
  <c r="AQ65" i="6"/>
  <c r="AP65" i="6"/>
  <c r="I65" i="6"/>
  <c r="BY64" i="6"/>
  <c r="AT64" i="6"/>
  <c r="AS64" i="6"/>
  <c r="AR64" i="6"/>
  <c r="AQ64" i="6"/>
  <c r="AP64" i="6"/>
  <c r="AU64" i="6" s="1"/>
  <c r="I64" i="6"/>
  <c r="B12" i="6" s="1"/>
  <c r="CD63" i="6"/>
  <c r="BY63" i="6"/>
  <c r="AT63" i="6"/>
  <c r="AS63" i="6"/>
  <c r="AR63" i="6"/>
  <c r="AQ63" i="6"/>
  <c r="AP63" i="6"/>
  <c r="AU63" i="6" s="1"/>
  <c r="I63" i="6"/>
  <c r="B11" i="6"/>
  <c r="BY62" i="6"/>
  <c r="AT62" i="6"/>
  <c r="AS62" i="6"/>
  <c r="AR62" i="6"/>
  <c r="AQ62" i="6"/>
  <c r="AP62" i="6"/>
  <c r="AU62" i="6" s="1"/>
  <c r="I62" i="6"/>
  <c r="BY61" i="6"/>
  <c r="AT61" i="6"/>
  <c r="AS61" i="6"/>
  <c r="AR61" i="6"/>
  <c r="AQ61" i="6"/>
  <c r="AP61" i="6"/>
  <c r="AU61" i="6" s="1"/>
  <c r="I61" i="6"/>
  <c r="BY60" i="6"/>
  <c r="AT60" i="6"/>
  <c r="AS60" i="6"/>
  <c r="AR60" i="6"/>
  <c r="AQ60" i="6"/>
  <c r="AP60" i="6"/>
  <c r="I60" i="6"/>
  <c r="B9" i="6" s="1"/>
  <c r="BY59" i="6"/>
  <c r="AT59" i="6"/>
  <c r="AS59" i="6"/>
  <c r="AR59" i="6"/>
  <c r="AQ59" i="6"/>
  <c r="AP59" i="6"/>
  <c r="AU59" i="6" s="1"/>
  <c r="BY58" i="6"/>
  <c r="AT58" i="6"/>
  <c r="AS58" i="6"/>
  <c r="AR58" i="6"/>
  <c r="AQ58" i="6"/>
  <c r="AU58" i="6" s="1"/>
  <c r="AP58" i="6"/>
  <c r="BY57" i="6"/>
  <c r="AT57" i="6"/>
  <c r="AS57" i="6"/>
  <c r="AR57" i="6"/>
  <c r="AQ57" i="6"/>
  <c r="AP57" i="6"/>
  <c r="AU57" i="6" s="1"/>
  <c r="BY56" i="6"/>
  <c r="AT56" i="6"/>
  <c r="AS56" i="6"/>
  <c r="AR56" i="6"/>
  <c r="AQ56" i="6"/>
  <c r="AU56" i="6" s="1"/>
  <c r="AP56" i="6"/>
  <c r="I56" i="6"/>
  <c r="BY55" i="6"/>
  <c r="AT55" i="6"/>
  <c r="AS55" i="6"/>
  <c r="AR55" i="6"/>
  <c r="AQ55" i="6"/>
  <c r="AP55" i="6"/>
  <c r="AU55" i="6" s="1"/>
  <c r="I55" i="6"/>
  <c r="CD54" i="6"/>
  <c r="BY54" i="6"/>
  <c r="AT54" i="6"/>
  <c r="AS54" i="6"/>
  <c r="AR54" i="6"/>
  <c r="AQ54" i="6"/>
  <c r="AP54" i="6"/>
  <c r="I54" i="6"/>
  <c r="BY53" i="6"/>
  <c r="AT53" i="6"/>
  <c r="AS53" i="6"/>
  <c r="AR53" i="6"/>
  <c r="AQ53" i="6"/>
  <c r="AP53" i="6"/>
  <c r="AU53" i="6" s="1"/>
  <c r="I53" i="6"/>
  <c r="BY52" i="6"/>
  <c r="AT52" i="6"/>
  <c r="AS52" i="6"/>
  <c r="AR52" i="6"/>
  <c r="AQ52" i="6"/>
  <c r="AP52" i="6"/>
  <c r="I52" i="6"/>
  <c r="BY51" i="6"/>
  <c r="AT51" i="6"/>
  <c r="AS51" i="6"/>
  <c r="AR51" i="6"/>
  <c r="AQ51" i="6"/>
  <c r="AP51" i="6"/>
  <c r="I51" i="6"/>
  <c r="BY50" i="6"/>
  <c r="AT50" i="6"/>
  <c r="AS50" i="6"/>
  <c r="AR50" i="6"/>
  <c r="AQ50" i="6"/>
  <c r="AP50" i="6"/>
  <c r="I50" i="6"/>
  <c r="BY49" i="6"/>
  <c r="AT49" i="6"/>
  <c r="AS49" i="6"/>
  <c r="AR49" i="6"/>
  <c r="AQ49" i="6"/>
  <c r="AP49" i="6"/>
  <c r="AU49" i="6" s="1"/>
  <c r="I49" i="6"/>
  <c r="BY48" i="6"/>
  <c r="AT48" i="6"/>
  <c r="AS48" i="6"/>
  <c r="AR48" i="6"/>
  <c r="AU48" i="6" s="1"/>
  <c r="AQ48" i="6"/>
  <c r="AP48" i="6"/>
  <c r="I48" i="6"/>
  <c r="BY47" i="6"/>
  <c r="AT47" i="6"/>
  <c r="AS47" i="6"/>
  <c r="AR47" i="6"/>
  <c r="AQ47" i="6"/>
  <c r="AP47" i="6"/>
  <c r="I47" i="6"/>
  <c r="BY46" i="6"/>
  <c r="BE46" i="6"/>
  <c r="AT46" i="6"/>
  <c r="AS46" i="6"/>
  <c r="AR46" i="6"/>
  <c r="AQ46" i="6"/>
  <c r="AP46" i="6"/>
  <c r="I46" i="6"/>
  <c r="BY45" i="6"/>
  <c r="AT45" i="6"/>
  <c r="AS45" i="6"/>
  <c r="AR45" i="6"/>
  <c r="AQ45" i="6"/>
  <c r="AP45" i="6"/>
  <c r="I45" i="6"/>
  <c r="BY44" i="6"/>
  <c r="AT44" i="6"/>
  <c r="AS44" i="6"/>
  <c r="AR44" i="6"/>
  <c r="AQ44" i="6"/>
  <c r="AP44" i="6"/>
  <c r="AU44" i="6" s="1"/>
  <c r="I44" i="6"/>
  <c r="BY43" i="6"/>
  <c r="AT43" i="6"/>
  <c r="AS43" i="6"/>
  <c r="AR43" i="6"/>
  <c r="AU43" i="6" s="1"/>
  <c r="AQ43" i="6"/>
  <c r="AP43" i="6"/>
  <c r="I43" i="6"/>
  <c r="CA42" i="6"/>
  <c r="BY42" i="6"/>
  <c r="AT42" i="6"/>
  <c r="AS42" i="6"/>
  <c r="AR42" i="6"/>
  <c r="AQ42" i="6"/>
  <c r="AP42" i="6"/>
  <c r="AU42" i="6" s="1"/>
  <c r="I42" i="6"/>
  <c r="BY41" i="6"/>
  <c r="AT41" i="6"/>
  <c r="AS41" i="6"/>
  <c r="AR41" i="6"/>
  <c r="AU41" i="6" s="1"/>
  <c r="AQ41" i="6"/>
  <c r="AP41" i="6"/>
  <c r="I41" i="6"/>
  <c r="BY40" i="6"/>
  <c r="AT40" i="6"/>
  <c r="AS40" i="6"/>
  <c r="AR40" i="6"/>
  <c r="AQ40" i="6"/>
  <c r="AP40" i="6"/>
  <c r="I40" i="6"/>
  <c r="CK39" i="6"/>
  <c r="CA39" i="6"/>
  <c r="BY39" i="6"/>
  <c r="AT39" i="6"/>
  <c r="AS39" i="6"/>
  <c r="AR39" i="6"/>
  <c r="AQ39" i="6"/>
  <c r="AP39" i="6"/>
  <c r="I39" i="6"/>
  <c r="CK38" i="6"/>
  <c r="BY38" i="6"/>
  <c r="AT38" i="6"/>
  <c r="AS38" i="6"/>
  <c r="AR38" i="6"/>
  <c r="AU38" i="6" s="1"/>
  <c r="AQ38" i="6"/>
  <c r="AP38" i="6"/>
  <c r="I38" i="6"/>
  <c r="CK37" i="6"/>
  <c r="BY37" i="6"/>
  <c r="AT37" i="6"/>
  <c r="AS37" i="6"/>
  <c r="AR37" i="6"/>
  <c r="AU37" i="6" s="1"/>
  <c r="AQ37" i="6"/>
  <c r="AP37" i="6"/>
  <c r="I37" i="6"/>
  <c r="CK36" i="6"/>
  <c r="BY36" i="6"/>
  <c r="AT36" i="6"/>
  <c r="AS36" i="6"/>
  <c r="AR36" i="6"/>
  <c r="AU36" i="6" s="1"/>
  <c r="AQ36" i="6"/>
  <c r="AP36" i="6"/>
  <c r="I36" i="6"/>
  <c r="BY35" i="6"/>
  <c r="AT35" i="6"/>
  <c r="AS35" i="6"/>
  <c r="AR35" i="6"/>
  <c r="AQ35" i="6"/>
  <c r="AP35" i="6"/>
  <c r="I35" i="6"/>
  <c r="BY34" i="6"/>
  <c r="AT34" i="6"/>
  <c r="AS34" i="6"/>
  <c r="AR34" i="6"/>
  <c r="AQ34" i="6"/>
  <c r="AP34" i="6"/>
  <c r="I34" i="6"/>
  <c r="B34" i="6"/>
  <c r="FV33" i="6"/>
  <c r="EZ33" i="6"/>
  <c r="EL33" i="6"/>
  <c r="BY33" i="6"/>
  <c r="AT33" i="6"/>
  <c r="AS33" i="6"/>
  <c r="AR33" i="6"/>
  <c r="AQ33" i="6"/>
  <c r="AU33" i="6" s="1"/>
  <c r="AP33" i="6"/>
  <c r="I33" i="6"/>
  <c r="FV32" i="6"/>
  <c r="FW33" i="6" s="1"/>
  <c r="AT32" i="6"/>
  <c r="AS32" i="6"/>
  <c r="AR32" i="6"/>
  <c r="AQ32" i="6"/>
  <c r="AP32" i="6"/>
  <c r="I32" i="6"/>
  <c r="AT31" i="6"/>
  <c r="AS31" i="6"/>
  <c r="AR31" i="6"/>
  <c r="AQ31" i="6"/>
  <c r="AP31" i="6"/>
  <c r="I31" i="6"/>
  <c r="CR30" i="6"/>
  <c r="AT30" i="6"/>
  <c r="AS30" i="6"/>
  <c r="AR30" i="6"/>
  <c r="AQ30" i="6"/>
  <c r="AP30" i="6"/>
  <c r="AU30" i="6" s="1"/>
  <c r="I30" i="6"/>
  <c r="CR29" i="6"/>
  <c r="CS30" i="6" s="1"/>
  <c r="AT29" i="6"/>
  <c r="AS29" i="6"/>
  <c r="AR29" i="6"/>
  <c r="AQ29" i="6"/>
  <c r="AP29" i="6"/>
  <c r="AU29" i="6" s="1"/>
  <c r="I29" i="6"/>
  <c r="AT28" i="6"/>
  <c r="AS28" i="6"/>
  <c r="AR28" i="6"/>
  <c r="AQ28" i="6"/>
  <c r="AU28" i="6" s="1"/>
  <c r="AP28" i="6"/>
  <c r="I28" i="6"/>
  <c r="B28" i="6"/>
  <c r="FW27" i="6"/>
  <c r="AT27" i="6"/>
  <c r="AS27" i="6"/>
  <c r="AR27" i="6"/>
  <c r="AQ27" i="6"/>
  <c r="AU27" i="6" s="1"/>
  <c r="AP27" i="6"/>
  <c r="I27" i="6"/>
  <c r="C27" i="6"/>
  <c r="AT26" i="6"/>
  <c r="AS26" i="6"/>
  <c r="AR26" i="6"/>
  <c r="AQ26" i="6"/>
  <c r="AP26" i="6"/>
  <c r="AU26" i="6" s="1"/>
  <c r="AT25" i="6"/>
  <c r="AS25" i="6"/>
  <c r="AR25" i="6"/>
  <c r="AQ25" i="6"/>
  <c r="AU25" i="6" s="1"/>
  <c r="AP25" i="6"/>
  <c r="FV24" i="6"/>
  <c r="DE24" i="6"/>
  <c r="CP24" i="6"/>
  <c r="AT24" i="6"/>
  <c r="AS24" i="6"/>
  <c r="AR24" i="6"/>
  <c r="AQ24" i="6"/>
  <c r="AP24" i="6"/>
  <c r="I24" i="6"/>
  <c r="B24" i="6"/>
  <c r="DE23" i="6"/>
  <c r="DF24" i="6" s="1"/>
  <c r="CP23" i="6"/>
  <c r="CQ24" i="6" s="1"/>
  <c r="AT23" i="6"/>
  <c r="AS23" i="6"/>
  <c r="AR23" i="6"/>
  <c r="AQ23" i="6"/>
  <c r="AP23" i="6"/>
  <c r="AU23" i="6" s="1"/>
  <c r="I23" i="6"/>
  <c r="B23" i="6"/>
  <c r="AT22" i="6"/>
  <c r="AS22" i="6"/>
  <c r="AR22" i="6"/>
  <c r="AQ22" i="6"/>
  <c r="AU22" i="6" s="1"/>
  <c r="AP22" i="6"/>
  <c r="I22" i="6"/>
  <c r="AT21" i="6"/>
  <c r="AS21" i="6"/>
  <c r="AR21" i="6"/>
  <c r="AQ21" i="6"/>
  <c r="AP21" i="6"/>
  <c r="I21" i="6"/>
  <c r="AT20" i="6"/>
  <c r="AS20" i="6"/>
  <c r="AR20" i="6"/>
  <c r="AQ20" i="6"/>
  <c r="AU20" i="6" s="1"/>
  <c r="AP20" i="6"/>
  <c r="I20" i="6"/>
  <c r="C20" i="6"/>
  <c r="BF29" i="6" s="1"/>
  <c r="BR6" i="6" s="1"/>
  <c r="BT6" i="6" s="1"/>
  <c r="B20" i="6"/>
  <c r="AT19" i="6"/>
  <c r="AS19" i="6"/>
  <c r="AR19" i="6"/>
  <c r="AQ19" i="6"/>
  <c r="AP19" i="6"/>
  <c r="I19" i="6"/>
  <c r="B19" i="6"/>
  <c r="FV18" i="6"/>
  <c r="EY18" i="6"/>
  <c r="CA18" i="6"/>
  <c r="CB18" i="6" s="1"/>
  <c r="AT18" i="6"/>
  <c r="AS18" i="6"/>
  <c r="AR18" i="6"/>
  <c r="AQ18" i="6"/>
  <c r="AP18" i="6"/>
  <c r="AU18" i="6" s="1"/>
  <c r="I18" i="6"/>
  <c r="C18" i="6"/>
  <c r="B18" i="6"/>
  <c r="EX17" i="6"/>
  <c r="AT17" i="6"/>
  <c r="AS17" i="6"/>
  <c r="AR17" i="6"/>
  <c r="AQ17" i="6"/>
  <c r="AP17" i="6"/>
  <c r="AU17" i="6" s="1"/>
  <c r="I17" i="6"/>
  <c r="B17" i="6"/>
  <c r="AT16" i="6"/>
  <c r="AS16" i="6"/>
  <c r="AR16" i="6"/>
  <c r="AQ16" i="6"/>
  <c r="AP16" i="6"/>
  <c r="AU16" i="6" s="1"/>
  <c r="CA15" i="6"/>
  <c r="AT15" i="6"/>
  <c r="AS15" i="6"/>
  <c r="AR15" i="6"/>
  <c r="AQ15" i="6"/>
  <c r="AU15" i="6" s="1"/>
  <c r="AP15" i="6"/>
  <c r="AT14" i="6"/>
  <c r="AS14" i="6"/>
  <c r="AR14" i="6"/>
  <c r="AU14" i="6" s="1"/>
  <c r="AQ14" i="6"/>
  <c r="AP14" i="6"/>
  <c r="AT13" i="6"/>
  <c r="AS13" i="6"/>
  <c r="AR13" i="6"/>
  <c r="AQ13" i="6"/>
  <c r="AP13" i="6"/>
  <c r="AU13" i="6" s="1"/>
  <c r="I13" i="6"/>
  <c r="AT12" i="6"/>
  <c r="AS12" i="6"/>
  <c r="AR12" i="6"/>
  <c r="AQ12" i="6"/>
  <c r="AP12" i="6"/>
  <c r="I12" i="6"/>
  <c r="AT11" i="6"/>
  <c r="AS11" i="6"/>
  <c r="AR11" i="6"/>
  <c r="AQ11" i="6"/>
  <c r="AP11" i="6"/>
  <c r="AU11" i="6" s="1"/>
  <c r="I11" i="6"/>
  <c r="BT10" i="6"/>
  <c r="AT10" i="6"/>
  <c r="AS10" i="6"/>
  <c r="AR10" i="6"/>
  <c r="AQ10" i="6"/>
  <c r="AP10" i="6"/>
  <c r="I10" i="6"/>
  <c r="B10" i="6"/>
  <c r="AT9" i="6"/>
  <c r="AS9" i="6"/>
  <c r="AR9" i="6"/>
  <c r="AQ9" i="6"/>
  <c r="AP9" i="6"/>
  <c r="I9" i="6"/>
  <c r="AT8" i="6"/>
  <c r="AS8" i="6"/>
  <c r="AR8" i="6"/>
  <c r="AQ8" i="6"/>
  <c r="AP8" i="6"/>
  <c r="I8" i="6"/>
  <c r="AT7" i="6"/>
  <c r="AS7" i="6"/>
  <c r="AR7" i="6"/>
  <c r="AQ7" i="6"/>
  <c r="AP7" i="6"/>
  <c r="I7" i="6"/>
  <c r="AT6" i="6"/>
  <c r="AS6" i="6"/>
  <c r="AR6" i="6"/>
  <c r="AQ6" i="6"/>
  <c r="AP6" i="6"/>
  <c r="AU6" i="6" s="1"/>
  <c r="FT5" i="6"/>
  <c r="FU6" i="6" s="1"/>
  <c r="CP5" i="6"/>
  <c r="AT5" i="6"/>
  <c r="AS5" i="6"/>
  <c r="AR5" i="6"/>
  <c r="AQ5" i="6"/>
  <c r="AP5" i="6"/>
  <c r="B5" i="6"/>
  <c r="AT4" i="6"/>
  <c r="AS4" i="6"/>
  <c r="AR4" i="6"/>
  <c r="AQ4" i="6"/>
  <c r="AP4" i="6"/>
  <c r="AU4" i="6" s="1"/>
  <c r="CK3" i="6"/>
  <c r="BY3" i="6"/>
  <c r="BL3" i="6"/>
  <c r="BE3" i="6"/>
  <c r="C25" i="6" s="1"/>
  <c r="BE5" i="6" s="1"/>
  <c r="AT3" i="6"/>
  <c r="AS3" i="6"/>
  <c r="AR3" i="6"/>
  <c r="AQ3" i="6"/>
  <c r="AU3" i="6" s="1"/>
  <c r="AP3" i="6"/>
  <c r="I3" i="6"/>
  <c r="B4" i="6" s="1"/>
  <c r="AT2" i="6"/>
  <c r="AS2" i="6"/>
  <c r="AR2" i="6"/>
  <c r="AQ2" i="6"/>
  <c r="AP2" i="6"/>
  <c r="G2" i="6"/>
  <c r="C18" i="4"/>
  <c r="AQ118" i="4"/>
  <c r="AP118" i="4"/>
  <c r="AU118" i="4" s="1"/>
  <c r="AQ119" i="4"/>
  <c r="AP119" i="4"/>
  <c r="AQ120" i="4"/>
  <c r="AP120" i="4"/>
  <c r="AU120" i="4" s="1"/>
  <c r="AR120" i="4"/>
  <c r="AQ121" i="4"/>
  <c r="AP121" i="4"/>
  <c r="AR121" i="4"/>
  <c r="AQ122" i="4"/>
  <c r="AR122" i="4"/>
  <c r="AP122" i="4"/>
  <c r="AQ123" i="4"/>
  <c r="AU123" i="4" s="1"/>
  <c r="AR123" i="4"/>
  <c r="AP123" i="4"/>
  <c r="AQ124" i="4"/>
  <c r="AQ125" i="4"/>
  <c r="AR125" i="4"/>
  <c r="AS126" i="4"/>
  <c r="AQ126" i="4"/>
  <c r="AR126" i="4"/>
  <c r="AQ127" i="4"/>
  <c r="AR127" i="4"/>
  <c r="AS127" i="4"/>
  <c r="AQ128" i="4"/>
  <c r="AU128" i="4" s="1"/>
  <c r="AR128" i="4"/>
  <c r="AP129" i="4"/>
  <c r="AP130" i="4"/>
  <c r="AP131" i="4"/>
  <c r="AP132" i="4"/>
  <c r="AP133" i="4"/>
  <c r="AP134" i="4"/>
  <c r="AP135" i="4"/>
  <c r="AP136" i="4"/>
  <c r="AP137" i="4"/>
  <c r="AP138" i="4"/>
  <c r="AP139" i="4"/>
  <c r="AP140" i="4"/>
  <c r="AP141" i="4"/>
  <c r="AP142" i="4"/>
  <c r="AP143" i="4"/>
  <c r="AP144" i="4"/>
  <c r="AP145" i="4"/>
  <c r="AP146" i="4"/>
  <c r="AP147" i="4"/>
  <c r="AP148" i="4"/>
  <c r="AP149" i="4"/>
  <c r="AP150" i="4"/>
  <c r="AP151" i="4"/>
  <c r="AP152" i="4"/>
  <c r="AP153" i="4"/>
  <c r="AP154" i="4"/>
  <c r="AP155" i="4"/>
  <c r="AP156" i="4"/>
  <c r="AP157" i="4"/>
  <c r="AP158" i="4"/>
  <c r="AP159" i="4"/>
  <c r="AP160" i="4"/>
  <c r="AP161" i="4"/>
  <c r="AP162" i="4"/>
  <c r="AP163" i="4"/>
  <c r="AP164" i="4"/>
  <c r="AP165" i="4"/>
  <c r="AP166" i="4"/>
  <c r="AP167" i="4"/>
  <c r="AP168" i="4"/>
  <c r="AP174" i="4"/>
  <c r="AU174" i="4" s="1"/>
  <c r="AP175" i="4"/>
  <c r="AU175" i="4" s="1"/>
  <c r="AP176" i="4"/>
  <c r="AU176" i="4" s="1"/>
  <c r="AP177" i="4"/>
  <c r="AU177" i="4" s="1"/>
  <c r="AP178" i="4"/>
  <c r="AU178" i="4" s="1"/>
  <c r="AP179" i="4"/>
  <c r="AU179" i="4" s="1"/>
  <c r="AP180" i="4"/>
  <c r="AU180" i="4" s="1"/>
  <c r="AP181" i="4"/>
  <c r="AU181" i="4" s="1"/>
  <c r="AP182" i="4"/>
  <c r="AU182" i="4" s="1"/>
  <c r="AP183" i="4"/>
  <c r="AU183" i="4" s="1"/>
  <c r="AP184" i="4"/>
  <c r="AU184" i="4" s="1"/>
  <c r="AP185" i="4"/>
  <c r="AU185" i="4" s="1"/>
  <c r="AP186" i="4"/>
  <c r="AU186" i="4" s="1"/>
  <c r="AP187" i="4"/>
  <c r="AU187" i="4" s="1"/>
  <c r="AP188" i="4"/>
  <c r="AU188" i="4" s="1"/>
  <c r="AP189" i="4"/>
  <c r="AU189" i="4" s="1"/>
  <c r="AP190" i="4"/>
  <c r="AU190" i="4" s="1"/>
  <c r="AP191" i="4"/>
  <c r="AU191" i="4" s="1"/>
  <c r="AP192" i="4"/>
  <c r="AU192" i="4" s="1"/>
  <c r="AP193" i="4"/>
  <c r="AU193" i="4" s="1"/>
  <c r="AP194" i="4"/>
  <c r="AU194" i="4" s="1"/>
  <c r="AP195" i="4"/>
  <c r="AU195" i="4" s="1"/>
  <c r="AP196" i="4"/>
  <c r="AU196" i="4" s="1"/>
  <c r="AP197" i="4"/>
  <c r="AU197" i="4" s="1"/>
  <c r="AP198" i="4"/>
  <c r="AU198" i="4" s="1"/>
  <c r="AP199" i="4"/>
  <c r="AU199" i="4" s="1"/>
  <c r="AP200" i="4"/>
  <c r="AU200" i="4" s="1"/>
  <c r="AP201" i="4"/>
  <c r="AU201" i="4" s="1"/>
  <c r="AP202" i="4"/>
  <c r="AU202" i="4" s="1"/>
  <c r="AP203" i="4"/>
  <c r="AU203" i="4" s="1"/>
  <c r="AP204" i="4"/>
  <c r="AU204" i="4" s="1"/>
  <c r="AP205" i="4"/>
  <c r="AU205" i="4" s="1"/>
  <c r="AP206" i="4"/>
  <c r="AU206" i="4" s="1"/>
  <c r="AP207" i="4"/>
  <c r="AU207" i="4" s="1"/>
  <c r="AP208" i="4"/>
  <c r="AU208" i="4" s="1"/>
  <c r="AP209" i="4"/>
  <c r="AU209" i="4" s="1"/>
  <c r="AP210" i="4"/>
  <c r="AU210" i="4" s="1"/>
  <c r="AP211" i="4"/>
  <c r="AU211" i="4" s="1"/>
  <c r="AP212" i="4"/>
  <c r="AU212" i="4" s="1"/>
  <c r="AP213" i="4"/>
  <c r="AU213" i="4" s="1"/>
  <c r="AP214" i="4"/>
  <c r="AU214" i="4" s="1"/>
  <c r="AP215" i="4"/>
  <c r="AU215" i="4" s="1"/>
  <c r="AP216" i="4"/>
  <c r="AU216" i="4" s="1"/>
  <c r="AP217" i="4"/>
  <c r="AU217" i="4" s="1"/>
  <c r="AP218" i="4"/>
  <c r="AU218" i="4" s="1"/>
  <c r="AP219" i="4"/>
  <c r="AU219" i="4" s="1"/>
  <c r="AP220" i="4"/>
  <c r="AU220" i="4" s="1"/>
  <c r="AP221" i="4"/>
  <c r="AU221" i="4" s="1"/>
  <c r="AP222" i="4"/>
  <c r="AU222" i="4" s="1"/>
  <c r="AP223" i="4"/>
  <c r="AU223" i="4" s="1"/>
  <c r="AP224" i="4"/>
  <c r="AU224" i="4" s="1"/>
  <c r="AP225" i="4"/>
  <c r="AU225" i="4" s="1"/>
  <c r="AP226" i="4"/>
  <c r="AU226" i="4" s="1"/>
  <c r="AP227" i="4"/>
  <c r="AU227" i="4" s="1"/>
  <c r="AP228" i="4"/>
  <c r="AU228" i="4" s="1"/>
  <c r="AP229" i="4"/>
  <c r="AU229" i="4" s="1"/>
  <c r="AP230" i="4"/>
  <c r="AU230" i="4" s="1"/>
  <c r="AP231" i="4"/>
  <c r="AU231" i="4" s="1"/>
  <c r="AP232" i="4"/>
  <c r="AU232" i="4" s="1"/>
  <c r="AP233" i="4"/>
  <c r="AU233" i="4" s="1"/>
  <c r="AP234" i="4"/>
  <c r="AU234" i="4" s="1"/>
  <c r="AP235" i="4"/>
  <c r="AU235" i="4" s="1"/>
  <c r="AQ59" i="4"/>
  <c r="AR59" i="4"/>
  <c r="AP59" i="4"/>
  <c r="AQ60" i="4"/>
  <c r="AR60" i="4"/>
  <c r="AP60" i="4"/>
  <c r="AQ61" i="4"/>
  <c r="AR61" i="4"/>
  <c r="AP61" i="4"/>
  <c r="AQ62" i="4"/>
  <c r="AP62" i="4"/>
  <c r="AR62" i="4"/>
  <c r="AS62" i="4"/>
  <c r="AQ63" i="4"/>
  <c r="AU63" i="4" s="1"/>
  <c r="AP63" i="4"/>
  <c r="AR63" i="4"/>
  <c r="AS63" i="4"/>
  <c r="AQ64" i="4"/>
  <c r="AP64" i="4"/>
  <c r="AR64" i="4"/>
  <c r="AQ91" i="4"/>
  <c r="AP91" i="4"/>
  <c r="AR91" i="4"/>
  <c r="AQ92" i="4"/>
  <c r="AP92" i="4"/>
  <c r="AU92" i="4" s="1"/>
  <c r="AR92" i="4"/>
  <c r="AQ93" i="4"/>
  <c r="AP93" i="4"/>
  <c r="AR93" i="4"/>
  <c r="AQ94" i="4"/>
  <c r="AP94" i="4"/>
  <c r="AR94" i="4"/>
  <c r="AQ95" i="4"/>
  <c r="AP95" i="4"/>
  <c r="AR95" i="4"/>
  <c r="AQ96" i="4"/>
  <c r="AP96" i="4"/>
  <c r="AU96" i="4" s="1"/>
  <c r="AR96" i="4"/>
  <c r="AQ97" i="4"/>
  <c r="AP97" i="4"/>
  <c r="AR97" i="4"/>
  <c r="AQ98" i="4"/>
  <c r="AR98" i="4"/>
  <c r="AP98" i="4"/>
  <c r="AQ99" i="4"/>
  <c r="AP99" i="4"/>
  <c r="AR99" i="4"/>
  <c r="AQ100" i="4"/>
  <c r="AR100" i="4"/>
  <c r="AP100" i="4"/>
  <c r="AQ101" i="4"/>
  <c r="AR101" i="4"/>
  <c r="AP101" i="4"/>
  <c r="AQ102" i="4"/>
  <c r="AR102" i="4"/>
  <c r="AP102" i="4"/>
  <c r="AQ103" i="4"/>
  <c r="AR103" i="4"/>
  <c r="AP103" i="4"/>
  <c r="AQ104" i="4"/>
  <c r="AR104" i="4"/>
  <c r="AP104" i="4"/>
  <c r="AU104" i="4" s="1"/>
  <c r="AQ105" i="4"/>
  <c r="AR105" i="4"/>
  <c r="AP105" i="4"/>
  <c r="AU105" i="4" s="1"/>
  <c r="AQ106" i="4"/>
  <c r="AR106" i="4"/>
  <c r="AP106" i="4"/>
  <c r="AQ107" i="4"/>
  <c r="AP107" i="4"/>
  <c r="AR107" i="4"/>
  <c r="AQ108" i="4"/>
  <c r="AP108" i="4"/>
  <c r="AR108" i="4"/>
  <c r="AQ109" i="4"/>
  <c r="AP109" i="4"/>
  <c r="AQ110" i="4"/>
  <c r="AP110" i="4"/>
  <c r="AQ111" i="4"/>
  <c r="AP111" i="4"/>
  <c r="AQ112" i="4"/>
  <c r="AP112" i="4"/>
  <c r="AQ113" i="4"/>
  <c r="AP113" i="4"/>
  <c r="AR113" i="4"/>
  <c r="AQ114" i="4"/>
  <c r="AP114" i="4"/>
  <c r="AR114" i="4"/>
  <c r="AQ115" i="4"/>
  <c r="AR115" i="4"/>
  <c r="AP115" i="4"/>
  <c r="AQ116" i="4"/>
  <c r="AR116" i="4"/>
  <c r="AP116" i="4"/>
  <c r="AQ117" i="4"/>
  <c r="AP117" i="4"/>
  <c r="AQ77" i="4"/>
  <c r="AP77" i="4"/>
  <c r="AR77" i="4"/>
  <c r="AQ78" i="4"/>
  <c r="AP78" i="4"/>
  <c r="AR78" i="4"/>
  <c r="AQ79" i="4"/>
  <c r="AP79" i="4"/>
  <c r="AR79" i="4"/>
  <c r="AQ80" i="4"/>
  <c r="AP80" i="4"/>
  <c r="AR80" i="4"/>
  <c r="AQ81" i="4"/>
  <c r="AP81" i="4"/>
  <c r="AU81" i="4" s="1"/>
  <c r="AR81" i="4"/>
  <c r="AQ82" i="4"/>
  <c r="AR82" i="4"/>
  <c r="AP82" i="4"/>
  <c r="AQ83" i="4"/>
  <c r="AP83" i="4"/>
  <c r="AR83" i="4"/>
  <c r="AU83" i="4" s="1"/>
  <c r="AQ84" i="4"/>
  <c r="AR84" i="4"/>
  <c r="AP84" i="4"/>
  <c r="AQ85" i="4"/>
  <c r="AR85" i="4"/>
  <c r="AP85" i="4"/>
  <c r="AQ86" i="4"/>
  <c r="AR86" i="4"/>
  <c r="AP86" i="4"/>
  <c r="AU86" i="4" s="1"/>
  <c r="AQ87" i="4"/>
  <c r="AR87" i="4"/>
  <c r="AP87" i="4"/>
  <c r="AQ88" i="4"/>
  <c r="AR88" i="4"/>
  <c r="AP88" i="4"/>
  <c r="AQ89" i="4"/>
  <c r="AP89" i="4"/>
  <c r="AR89" i="4"/>
  <c r="AQ90" i="4"/>
  <c r="AP90" i="4"/>
  <c r="AR90" i="4"/>
  <c r="AQ70" i="4"/>
  <c r="AR70" i="4"/>
  <c r="AP70" i="4"/>
  <c r="AQ71" i="4"/>
  <c r="AU71" i="4" s="1"/>
  <c r="AR71" i="4"/>
  <c r="AP71" i="4"/>
  <c r="AQ72" i="4"/>
  <c r="AR72" i="4"/>
  <c r="AP72" i="4"/>
  <c r="AS72" i="4"/>
  <c r="AQ73" i="4"/>
  <c r="AP73" i="4"/>
  <c r="AR73" i="4"/>
  <c r="AQ74" i="4"/>
  <c r="AP74" i="4"/>
  <c r="AR74" i="4"/>
  <c r="AQ75" i="4"/>
  <c r="AP75" i="4"/>
  <c r="AR75" i="4"/>
  <c r="AU75" i="4" s="1"/>
  <c r="AQ76" i="4"/>
  <c r="AP76" i="4"/>
  <c r="AR76" i="4"/>
  <c r="AQ67" i="4"/>
  <c r="AR67" i="4"/>
  <c r="AP67" i="4"/>
  <c r="AQ68" i="4"/>
  <c r="AR68" i="4"/>
  <c r="AP68" i="4"/>
  <c r="AU68" i="4" s="1"/>
  <c r="AS68" i="4"/>
  <c r="AQ69" i="4"/>
  <c r="AR69" i="4"/>
  <c r="AP69" i="4"/>
  <c r="AQ65" i="4"/>
  <c r="AP65" i="4"/>
  <c r="AR65" i="4"/>
  <c r="AQ66" i="4"/>
  <c r="AP66" i="4"/>
  <c r="AR66" i="4"/>
  <c r="AS66" i="4"/>
  <c r="AQ30" i="4"/>
  <c r="AR30" i="4"/>
  <c r="AP30" i="4"/>
  <c r="AQ31" i="4"/>
  <c r="AP31" i="4"/>
  <c r="AR31" i="4"/>
  <c r="AS31" i="4"/>
  <c r="AQ32" i="4"/>
  <c r="AP32" i="4"/>
  <c r="AR32" i="4"/>
  <c r="AS32" i="4"/>
  <c r="AQ33" i="4"/>
  <c r="AP33" i="4"/>
  <c r="AR33" i="4"/>
  <c r="AQ34" i="4"/>
  <c r="AP34" i="4"/>
  <c r="AR34" i="4"/>
  <c r="AQ35" i="4"/>
  <c r="AP35" i="4"/>
  <c r="AR35" i="4"/>
  <c r="AU35" i="4" s="1"/>
  <c r="AS35" i="4"/>
  <c r="AQ36" i="4"/>
  <c r="AR36" i="4"/>
  <c r="AP36" i="4"/>
  <c r="AQ37" i="4"/>
  <c r="AU37" i="4" s="1"/>
  <c r="AR37" i="4"/>
  <c r="AP37" i="4"/>
  <c r="AS37" i="4"/>
  <c r="AQ38" i="4"/>
  <c r="AR38" i="4"/>
  <c r="AP38" i="4"/>
  <c r="AQ39" i="4"/>
  <c r="AP39" i="4"/>
  <c r="AR39" i="4"/>
  <c r="AS39" i="4"/>
  <c r="AQ40" i="4"/>
  <c r="AP40" i="4"/>
  <c r="AR40" i="4"/>
  <c r="AS40" i="4"/>
  <c r="AQ41" i="4"/>
  <c r="AP41" i="4"/>
  <c r="AR41" i="4"/>
  <c r="AQ42" i="4"/>
  <c r="AP42" i="4"/>
  <c r="AR42" i="4"/>
  <c r="AQ43" i="4"/>
  <c r="AP43" i="4"/>
  <c r="AR43" i="4"/>
  <c r="AU43" i="4" s="1"/>
  <c r="AS43" i="4"/>
  <c r="AQ44" i="4"/>
  <c r="AR44" i="4"/>
  <c r="AP44" i="4"/>
  <c r="AQ45" i="4"/>
  <c r="AR45" i="4"/>
  <c r="AP45" i="4"/>
  <c r="AS45" i="4"/>
  <c r="AQ46" i="4"/>
  <c r="AR46" i="4"/>
  <c r="AP46" i="4"/>
  <c r="AQ47" i="4"/>
  <c r="AP47" i="4"/>
  <c r="AR47" i="4"/>
  <c r="AQ48" i="4"/>
  <c r="AP48" i="4"/>
  <c r="AR48" i="4"/>
  <c r="AQ49" i="4"/>
  <c r="AP49" i="4"/>
  <c r="AR49" i="4"/>
  <c r="AQ50" i="4"/>
  <c r="AP50" i="4"/>
  <c r="AR50" i="4"/>
  <c r="AQ51" i="4"/>
  <c r="AP51" i="4"/>
  <c r="AR51" i="4"/>
  <c r="AQ52" i="4"/>
  <c r="AP52" i="4"/>
  <c r="AU52" i="4" s="1"/>
  <c r="AR52" i="4"/>
  <c r="AQ53" i="4"/>
  <c r="AP53" i="4"/>
  <c r="AR53" i="4"/>
  <c r="AQ54" i="4"/>
  <c r="AP54" i="4"/>
  <c r="AR54" i="4"/>
  <c r="AQ55" i="4"/>
  <c r="AP55" i="4"/>
  <c r="AR55" i="4"/>
  <c r="AQ56" i="4"/>
  <c r="AP56" i="4"/>
  <c r="AR56" i="4"/>
  <c r="AQ57" i="4"/>
  <c r="AP57" i="4"/>
  <c r="AR57" i="4"/>
  <c r="AQ58" i="4"/>
  <c r="AP58" i="4"/>
  <c r="AR58" i="4"/>
  <c r="AQ15" i="4"/>
  <c r="AR15" i="4"/>
  <c r="AP15" i="4"/>
  <c r="AQ16" i="4"/>
  <c r="AP16" i="4"/>
  <c r="AR16" i="4"/>
  <c r="AQ17" i="4"/>
  <c r="AP17" i="4"/>
  <c r="AR17" i="4"/>
  <c r="AQ18" i="4"/>
  <c r="AP18" i="4"/>
  <c r="AR18" i="4"/>
  <c r="AQ19" i="4"/>
  <c r="AP19" i="4"/>
  <c r="AR19" i="4"/>
  <c r="AQ20" i="4"/>
  <c r="AP20" i="4"/>
  <c r="AR20" i="4"/>
  <c r="AQ21" i="4"/>
  <c r="AP21" i="4"/>
  <c r="AR21" i="4"/>
  <c r="AQ22" i="4"/>
  <c r="AP22" i="4"/>
  <c r="AR22" i="4"/>
  <c r="AQ23" i="4"/>
  <c r="AP23" i="4"/>
  <c r="AR23" i="4"/>
  <c r="AQ24" i="4"/>
  <c r="AP24" i="4"/>
  <c r="AR24" i="4"/>
  <c r="AQ25" i="4"/>
  <c r="AP25" i="4"/>
  <c r="AR25" i="4"/>
  <c r="AQ26" i="4"/>
  <c r="AP26" i="4"/>
  <c r="AR26" i="4"/>
  <c r="AQ27" i="4"/>
  <c r="AP27" i="4"/>
  <c r="AR27" i="4"/>
  <c r="AQ28" i="4"/>
  <c r="AR28" i="4"/>
  <c r="AP28" i="4"/>
  <c r="AQ29" i="4"/>
  <c r="AR29" i="4"/>
  <c r="AP29" i="4"/>
  <c r="AQ8" i="4"/>
  <c r="AR8" i="4"/>
  <c r="AP8" i="4"/>
  <c r="AQ9" i="4"/>
  <c r="AR9" i="4"/>
  <c r="AP9" i="4"/>
  <c r="AQ10" i="4"/>
  <c r="AP10" i="4"/>
  <c r="AR10" i="4"/>
  <c r="AQ11" i="4"/>
  <c r="AP11" i="4"/>
  <c r="AR11" i="4"/>
  <c r="AQ12" i="4"/>
  <c r="AP12" i="4"/>
  <c r="AR12" i="4"/>
  <c r="AS12" i="4"/>
  <c r="AQ13" i="4"/>
  <c r="AR13" i="4"/>
  <c r="AP13" i="4"/>
  <c r="AQ14" i="4"/>
  <c r="AR14" i="4"/>
  <c r="AP14" i="4"/>
  <c r="AS14" i="4"/>
  <c r="AQ4" i="4"/>
  <c r="AP4" i="4"/>
  <c r="AR4" i="4"/>
  <c r="AQ5" i="4"/>
  <c r="AP5" i="4"/>
  <c r="AR5" i="4"/>
  <c r="AQ6" i="4"/>
  <c r="AP6" i="4"/>
  <c r="AR6" i="4"/>
  <c r="AQ7" i="4"/>
  <c r="AR7" i="4"/>
  <c r="AP7" i="4"/>
  <c r="AQ2" i="4"/>
  <c r="AP2" i="4"/>
  <c r="AR2" i="4"/>
  <c r="AQ3" i="4"/>
  <c r="AP3" i="4"/>
  <c r="AR3" i="4"/>
  <c r="BL3" i="4"/>
  <c r="BL5" i="4" s="1"/>
  <c r="BL6" i="4" s="1"/>
  <c r="BE3" i="4"/>
  <c r="C25" i="4" s="1"/>
  <c r="BE5" i="4" s="1"/>
  <c r="C1" i="5"/>
  <c r="B3" i="2"/>
  <c r="B4" i="2"/>
  <c r="B6" i="2"/>
  <c r="B7" i="2"/>
  <c r="B9" i="2"/>
  <c r="B10" i="2"/>
  <c r="B12" i="2"/>
  <c r="B13" i="2"/>
  <c r="B15" i="2"/>
  <c r="B16" i="2"/>
  <c r="B18" i="2"/>
  <c r="I82" i="4"/>
  <c r="G2" i="4" s="1"/>
  <c r="AS2" i="4"/>
  <c r="AT2" i="4"/>
  <c r="AR118" i="4"/>
  <c r="AR119" i="4"/>
  <c r="AS64" i="4"/>
  <c r="AS65" i="4"/>
  <c r="AS67" i="4"/>
  <c r="AT68" i="4"/>
  <c r="AS71" i="4"/>
  <c r="AS78" i="4"/>
  <c r="AT78" i="4"/>
  <c r="AS94" i="4"/>
  <c r="AT94" i="4"/>
  <c r="AT105" i="4"/>
  <c r="AT106" i="4"/>
  <c r="AR109" i="4"/>
  <c r="AR110" i="4"/>
  <c r="AR111" i="4"/>
  <c r="AR112" i="4"/>
  <c r="AR117" i="4"/>
  <c r="AU117" i="4" s="1"/>
  <c r="AS33" i="4"/>
  <c r="AS34" i="4"/>
  <c r="AS36" i="4"/>
  <c r="AT37" i="4"/>
  <c r="AS41" i="4"/>
  <c r="AS42" i="4"/>
  <c r="AS44" i="4"/>
  <c r="AT45" i="4"/>
  <c r="AS47" i="4"/>
  <c r="AS16" i="4"/>
  <c r="AS10" i="4"/>
  <c r="AS11" i="4"/>
  <c r="AS13" i="4"/>
  <c r="AT14" i="4"/>
  <c r="BL4" i="4"/>
  <c r="BT10" i="4"/>
  <c r="I3" i="4"/>
  <c r="B3" i="4" s="1"/>
  <c r="AS3" i="4"/>
  <c r="AT3" i="4"/>
  <c r="BY3" i="4"/>
  <c r="EM3" i="4"/>
  <c r="AS4" i="4"/>
  <c r="AT4" i="4"/>
  <c r="I7" i="4"/>
  <c r="AS5" i="4"/>
  <c r="AT5" i="4"/>
  <c r="AS6" i="4"/>
  <c r="AT6" i="4"/>
  <c r="AS7" i="4"/>
  <c r="AT7" i="4"/>
  <c r="I8" i="4"/>
  <c r="AS8" i="4"/>
  <c r="AT8" i="4"/>
  <c r="I60" i="4"/>
  <c r="B9" i="4" s="1"/>
  <c r="I9" i="4"/>
  <c r="AS9" i="4"/>
  <c r="AT9" i="4"/>
  <c r="I61" i="4"/>
  <c r="B10" i="4" s="1"/>
  <c r="I10" i="4"/>
  <c r="AT10" i="4"/>
  <c r="I63" i="4"/>
  <c r="B11" i="4" s="1"/>
  <c r="I11" i="4"/>
  <c r="AT11" i="4"/>
  <c r="I64" i="4"/>
  <c r="B12" i="4" s="1"/>
  <c r="I12" i="4"/>
  <c r="AT12" i="4"/>
  <c r="I13" i="4"/>
  <c r="AT13" i="4"/>
  <c r="AS15" i="4"/>
  <c r="AT15" i="4"/>
  <c r="CA15" i="4"/>
  <c r="CB15" i="4"/>
  <c r="AT16" i="4"/>
  <c r="B17" i="4"/>
  <c r="I17" i="4"/>
  <c r="AS17" i="4"/>
  <c r="AT17" i="4"/>
  <c r="B18" i="4"/>
  <c r="I18" i="4"/>
  <c r="AS18" i="4"/>
  <c r="AT18" i="4"/>
  <c r="CA18" i="4"/>
  <c r="CC24" i="4" s="1"/>
  <c r="CD24" i="4" s="1"/>
  <c r="HX18" i="4"/>
  <c r="I74" i="4"/>
  <c r="B19" i="4" s="1"/>
  <c r="I19" i="4"/>
  <c r="AS19" i="4"/>
  <c r="AT19" i="4"/>
  <c r="I73" i="4"/>
  <c r="B20" i="4" s="1"/>
  <c r="C20" i="4"/>
  <c r="BF29" i="4" s="1"/>
  <c r="BR6" i="4" s="1"/>
  <c r="BT6" i="4" s="1"/>
  <c r="I20" i="4"/>
  <c r="AS20" i="4"/>
  <c r="AT20" i="4"/>
  <c r="I21" i="4"/>
  <c r="AS21" i="4"/>
  <c r="AT21" i="4"/>
  <c r="I68" i="4"/>
  <c r="B22" i="4" s="1"/>
  <c r="I22" i="4"/>
  <c r="AS22" i="4"/>
  <c r="AT22" i="4"/>
  <c r="I69" i="4"/>
  <c r="B23" i="4" s="1"/>
  <c r="I23" i="4"/>
  <c r="AS23" i="4"/>
  <c r="AT23" i="4"/>
  <c r="ER23" i="4"/>
  <c r="ES24" i="4" s="1"/>
  <c r="FG23" i="4"/>
  <c r="FH24" i="4"/>
  <c r="I70" i="4"/>
  <c r="B24" i="4" s="1"/>
  <c r="I24" i="4"/>
  <c r="AS24" i="4"/>
  <c r="AT24" i="4"/>
  <c r="ER24" i="4"/>
  <c r="FG24" i="4"/>
  <c r="HX24" i="4"/>
  <c r="I71" i="4"/>
  <c r="B25" i="4" s="1"/>
  <c r="AS25" i="4"/>
  <c r="AT25" i="4"/>
  <c r="I72" i="4"/>
  <c r="B26" i="4" s="1"/>
  <c r="AS26" i="4"/>
  <c r="AT26" i="4"/>
  <c r="I79" i="4"/>
  <c r="I27" i="4"/>
  <c r="AS27" i="4"/>
  <c r="AT27" i="4"/>
  <c r="HY27" i="4"/>
  <c r="I75" i="4"/>
  <c r="B28" i="4" s="1"/>
  <c r="I28" i="4"/>
  <c r="AS28" i="4"/>
  <c r="AT28" i="4"/>
  <c r="I76" i="4"/>
  <c r="B29" i="4" s="1"/>
  <c r="I29" i="4"/>
  <c r="AS29" i="4"/>
  <c r="AT29" i="4"/>
  <c r="ET29" i="4"/>
  <c r="I77" i="4"/>
  <c r="B30" i="4" s="1"/>
  <c r="I30" i="4"/>
  <c r="AS30" i="4"/>
  <c r="AT30" i="4"/>
  <c r="ET30" i="4"/>
  <c r="I78" i="4"/>
  <c r="B31" i="4" s="1"/>
  <c r="I31" i="4"/>
  <c r="AT31" i="4"/>
  <c r="I32" i="4"/>
  <c r="AT32" i="4"/>
  <c r="HX32" i="4"/>
  <c r="I33" i="4"/>
  <c r="AT33" i="4"/>
  <c r="BY33" i="4"/>
  <c r="HX33" i="4"/>
  <c r="I93" i="4"/>
  <c r="B34" i="4" s="1"/>
  <c r="I34" i="4"/>
  <c r="AT34" i="4"/>
  <c r="BY34" i="4"/>
  <c r="I35" i="4"/>
  <c r="AT35" i="4"/>
  <c r="BY35" i="4"/>
  <c r="I36" i="4"/>
  <c r="AT36" i="4"/>
  <c r="BY36" i="4"/>
  <c r="EM36" i="4"/>
  <c r="I37" i="4"/>
  <c r="BY37" i="4"/>
  <c r="EM37" i="4"/>
  <c r="I38" i="4"/>
  <c r="AS38" i="4"/>
  <c r="AT38" i="4"/>
  <c r="BY38" i="4"/>
  <c r="EM38" i="4"/>
  <c r="I39" i="4"/>
  <c r="AT39" i="4"/>
  <c r="BY39" i="4"/>
  <c r="CA39" i="4"/>
  <c r="EM39" i="4"/>
  <c r="I40" i="4"/>
  <c r="AT40" i="4"/>
  <c r="BY40" i="4"/>
  <c r="I41" i="4"/>
  <c r="AT41" i="4"/>
  <c r="BY41" i="4"/>
  <c r="I42" i="4"/>
  <c r="AT42" i="4"/>
  <c r="BY42" i="4"/>
  <c r="CA42" i="4"/>
  <c r="CB60" i="4" s="1"/>
  <c r="I43" i="4"/>
  <c r="AT43" i="4"/>
  <c r="BY43" i="4"/>
  <c r="I44" i="4"/>
  <c r="AT44" i="4"/>
  <c r="BY44" i="4"/>
  <c r="I45" i="4"/>
  <c r="BY45" i="4"/>
  <c r="I46" i="4"/>
  <c r="AS46" i="4"/>
  <c r="AT46" i="4"/>
  <c r="BE46" i="4"/>
  <c r="BY46" i="4"/>
  <c r="I47" i="4"/>
  <c r="AT47" i="4"/>
  <c r="BY47" i="4"/>
  <c r="I48" i="4"/>
  <c r="AS48" i="4"/>
  <c r="AT48" i="4"/>
  <c r="BY48" i="4"/>
  <c r="I49" i="4"/>
  <c r="AS49" i="4"/>
  <c r="AT49" i="4"/>
  <c r="BY49" i="4"/>
  <c r="I50" i="4"/>
  <c r="AS50" i="4"/>
  <c r="AT50" i="4"/>
  <c r="BY50" i="4"/>
  <c r="I51" i="4"/>
  <c r="AS51" i="4"/>
  <c r="AT51" i="4"/>
  <c r="BY51" i="4"/>
  <c r="CA51" i="4"/>
  <c r="CB69" i="4"/>
  <c r="I52" i="4"/>
  <c r="AS52" i="4"/>
  <c r="AT52" i="4"/>
  <c r="BY52" i="4"/>
  <c r="I53" i="4"/>
  <c r="AS53" i="4"/>
  <c r="AT53" i="4"/>
  <c r="BY53" i="4"/>
  <c r="I54" i="4"/>
  <c r="AS54" i="4"/>
  <c r="AT54" i="4"/>
  <c r="BY54" i="4"/>
  <c r="CD54" i="4"/>
  <c r="I55" i="4"/>
  <c r="AS55" i="4"/>
  <c r="AT55" i="4"/>
  <c r="BY55" i="4"/>
  <c r="I56" i="4"/>
  <c r="AS56" i="4"/>
  <c r="AT56" i="4"/>
  <c r="BY56" i="4"/>
  <c r="AS57" i="4"/>
  <c r="AT57" i="4"/>
  <c r="BY57" i="4"/>
  <c r="AS58" i="4"/>
  <c r="AT58" i="4"/>
  <c r="BY58" i="4"/>
  <c r="AS59" i="4"/>
  <c r="AT59" i="4"/>
  <c r="BY59" i="4"/>
  <c r="AS60" i="4"/>
  <c r="AT60" i="4"/>
  <c r="BY60" i="4"/>
  <c r="AS61" i="4"/>
  <c r="AT61" i="4"/>
  <c r="BY61" i="4"/>
  <c r="I62" i="4"/>
  <c r="AT62" i="4"/>
  <c r="BY62" i="4"/>
  <c r="AT63" i="4"/>
  <c r="BY63" i="4"/>
  <c r="CD63" i="4"/>
  <c r="AT64" i="4"/>
  <c r="BY64" i="4"/>
  <c r="I65" i="4"/>
  <c r="AT65" i="4"/>
  <c r="BY65" i="4"/>
  <c r="I66" i="4"/>
  <c r="AT66" i="4"/>
  <c r="BY66" i="4"/>
  <c r="AT67" i="4"/>
  <c r="BY67" i="4"/>
  <c r="BY68" i="4"/>
  <c r="AS69" i="4"/>
  <c r="AT69" i="4"/>
  <c r="BY69" i="4"/>
  <c r="AS70" i="4"/>
  <c r="AT70" i="4"/>
  <c r="AT71" i="4"/>
  <c r="AT72" i="4"/>
  <c r="AS73" i="4"/>
  <c r="AT73" i="4"/>
  <c r="AS74" i="4"/>
  <c r="AT74" i="4"/>
  <c r="AS75" i="4"/>
  <c r="AT75" i="4"/>
  <c r="AS76" i="4"/>
  <c r="AT76" i="4"/>
  <c r="AS77" i="4"/>
  <c r="AT77" i="4"/>
  <c r="AS79" i="4"/>
  <c r="AT79" i="4"/>
  <c r="AS80" i="4"/>
  <c r="AT80" i="4"/>
  <c r="AS81" i="4"/>
  <c r="AT81" i="4"/>
  <c r="AS82" i="4"/>
  <c r="AT82" i="4"/>
  <c r="I83" i="4"/>
  <c r="AS83" i="4"/>
  <c r="AT83" i="4"/>
  <c r="I84" i="4"/>
  <c r="AS84" i="4"/>
  <c r="AT84" i="4"/>
  <c r="I85" i="4"/>
  <c r="AS85" i="4"/>
  <c r="AT85" i="4"/>
  <c r="I86" i="4"/>
  <c r="AS86" i="4"/>
  <c r="AT86" i="4"/>
  <c r="I87" i="4"/>
  <c r="AS87" i="4"/>
  <c r="AT87" i="4"/>
  <c r="I88" i="4"/>
  <c r="AS88" i="4"/>
  <c r="AT88" i="4"/>
  <c r="AS89" i="4"/>
  <c r="AT89" i="4"/>
  <c r="AS90" i="4"/>
  <c r="AT90" i="4"/>
  <c r="I91" i="4"/>
  <c r="AS91" i="4"/>
  <c r="AT91" i="4"/>
  <c r="AS92" i="4"/>
  <c r="AT92" i="4"/>
  <c r="AS93" i="4"/>
  <c r="AT93" i="4"/>
  <c r="AS95" i="4"/>
  <c r="AT95" i="4"/>
  <c r="I96" i="4"/>
  <c r="AS96" i="4"/>
  <c r="AT96" i="4"/>
  <c r="I97" i="4"/>
  <c r="AS97" i="4"/>
  <c r="AT97" i="4"/>
  <c r="I98" i="4"/>
  <c r="AS98" i="4"/>
  <c r="AT98" i="4"/>
  <c r="AS99" i="4"/>
  <c r="AT99" i="4"/>
  <c r="AS100" i="4"/>
  <c r="AT100" i="4"/>
  <c r="AS101" i="4"/>
  <c r="AT101" i="4"/>
  <c r="AS102" i="4"/>
  <c r="AT102" i="4"/>
  <c r="AS103" i="4"/>
  <c r="AT103" i="4"/>
  <c r="AS104" i="4"/>
  <c r="AT104" i="4"/>
  <c r="AS105" i="4"/>
  <c r="AS106" i="4"/>
  <c r="AS107" i="4"/>
  <c r="AT107" i="4"/>
  <c r="AS108" i="4"/>
  <c r="AT108" i="4"/>
  <c r="AS109" i="4"/>
  <c r="AT109" i="4"/>
  <c r="AS110" i="4"/>
  <c r="AT110" i="4"/>
  <c r="AS111" i="4"/>
  <c r="AT111" i="4"/>
  <c r="AS112" i="4"/>
  <c r="AT112" i="4"/>
  <c r="AS113" i="4"/>
  <c r="AT113" i="4"/>
  <c r="AS114" i="4"/>
  <c r="AT114" i="4"/>
  <c r="AS115" i="4"/>
  <c r="AT115" i="4"/>
  <c r="AS116" i="4"/>
  <c r="AT116" i="4"/>
  <c r="AS117" i="4"/>
  <c r="AT117" i="4"/>
  <c r="AS118" i="4"/>
  <c r="AT118" i="4"/>
  <c r="AS119" i="4"/>
  <c r="AT119" i="4"/>
  <c r="AS120" i="4"/>
  <c r="AT120" i="4"/>
  <c r="AS121" i="4"/>
  <c r="AT121" i="4"/>
  <c r="AS122" i="4"/>
  <c r="AT122" i="4"/>
  <c r="AS123" i="4"/>
  <c r="AT123" i="4"/>
  <c r="AR124" i="4"/>
  <c r="AU124" i="4" s="1"/>
  <c r="AS124" i="4"/>
  <c r="AT124" i="4"/>
  <c r="AS125" i="4"/>
  <c r="AT125" i="4"/>
  <c r="AT126" i="4"/>
  <c r="AT127" i="4"/>
  <c r="AS128" i="4"/>
  <c r="AT128" i="4"/>
  <c r="AQ129" i="4"/>
  <c r="AR129" i="4"/>
  <c r="AS129" i="4"/>
  <c r="AT129" i="4"/>
  <c r="AQ130" i="4"/>
  <c r="AR130" i="4"/>
  <c r="AS130" i="4"/>
  <c r="AT130" i="4"/>
  <c r="AQ131" i="4"/>
  <c r="AR131" i="4"/>
  <c r="AS131" i="4"/>
  <c r="AT131" i="4"/>
  <c r="AQ132" i="4"/>
  <c r="AR132" i="4"/>
  <c r="AS132" i="4"/>
  <c r="AT132" i="4"/>
  <c r="AQ133" i="4"/>
  <c r="AR133" i="4"/>
  <c r="AS133" i="4"/>
  <c r="AT133" i="4"/>
  <c r="AQ134" i="4"/>
  <c r="AU134" i="4" s="1"/>
  <c r="AR134" i="4"/>
  <c r="AS134" i="4"/>
  <c r="AT134" i="4"/>
  <c r="AQ135" i="4"/>
  <c r="AR135" i="4"/>
  <c r="AS135" i="4"/>
  <c r="AT135" i="4"/>
  <c r="AQ136" i="4"/>
  <c r="AR136" i="4"/>
  <c r="AS136" i="4"/>
  <c r="AT136" i="4"/>
  <c r="AQ137" i="4"/>
  <c r="AR137" i="4"/>
  <c r="AS137" i="4"/>
  <c r="AT137" i="4"/>
  <c r="AQ138" i="4"/>
  <c r="AU138" i="4" s="1"/>
  <c r="AR138" i="4"/>
  <c r="AS138" i="4"/>
  <c r="AT138" i="4"/>
  <c r="AQ139" i="4"/>
  <c r="AR139" i="4"/>
  <c r="AS139" i="4"/>
  <c r="AT139" i="4"/>
  <c r="AQ140" i="4"/>
  <c r="AR140" i="4"/>
  <c r="AS140" i="4"/>
  <c r="AT140" i="4"/>
  <c r="AQ141" i="4"/>
  <c r="AR141" i="4"/>
  <c r="AS141" i="4"/>
  <c r="AT141" i="4"/>
  <c r="AQ142" i="4"/>
  <c r="AR142" i="4"/>
  <c r="AS142" i="4"/>
  <c r="AT142" i="4"/>
  <c r="AQ143" i="4"/>
  <c r="AR143" i="4"/>
  <c r="AS143" i="4"/>
  <c r="AT143" i="4"/>
  <c r="AQ144" i="4"/>
  <c r="AR144" i="4"/>
  <c r="AS144" i="4"/>
  <c r="AT144" i="4"/>
  <c r="AQ145" i="4"/>
  <c r="AR145" i="4"/>
  <c r="AS145" i="4"/>
  <c r="AT145" i="4"/>
  <c r="AQ146" i="4"/>
  <c r="AR146" i="4"/>
  <c r="AS146" i="4"/>
  <c r="AT146" i="4"/>
  <c r="AQ147" i="4"/>
  <c r="AR147" i="4"/>
  <c r="AS147" i="4"/>
  <c r="AT147" i="4"/>
  <c r="AQ148" i="4"/>
  <c r="AR148" i="4"/>
  <c r="AS148" i="4"/>
  <c r="AT148" i="4"/>
  <c r="AQ149" i="4"/>
  <c r="AR149" i="4"/>
  <c r="AS149" i="4"/>
  <c r="AT149" i="4"/>
  <c r="AQ150" i="4"/>
  <c r="AR150" i="4"/>
  <c r="AS150" i="4"/>
  <c r="AT150" i="4"/>
  <c r="AQ151" i="4"/>
  <c r="AR151" i="4"/>
  <c r="AS151" i="4"/>
  <c r="AT151" i="4"/>
  <c r="AQ152" i="4"/>
  <c r="AR152" i="4"/>
  <c r="AS152" i="4"/>
  <c r="AT152" i="4"/>
  <c r="AQ153" i="4"/>
  <c r="AR153" i="4"/>
  <c r="AS153" i="4"/>
  <c r="AT153" i="4"/>
  <c r="AQ154" i="4"/>
  <c r="AU154" i="4" s="1"/>
  <c r="AR154" i="4"/>
  <c r="AS154" i="4"/>
  <c r="AT154" i="4"/>
  <c r="AQ155" i="4"/>
  <c r="AR155" i="4"/>
  <c r="AS155" i="4"/>
  <c r="AT155" i="4"/>
  <c r="AQ156" i="4"/>
  <c r="AR156" i="4"/>
  <c r="AS156" i="4"/>
  <c r="AT156" i="4"/>
  <c r="AQ157" i="4"/>
  <c r="AR157" i="4"/>
  <c r="AS157" i="4"/>
  <c r="AT157" i="4"/>
  <c r="AQ158" i="4"/>
  <c r="AR158" i="4"/>
  <c r="AS158" i="4"/>
  <c r="AT158" i="4"/>
  <c r="AQ159" i="4"/>
  <c r="AR159" i="4"/>
  <c r="AS159" i="4"/>
  <c r="AT159" i="4"/>
  <c r="AQ160" i="4"/>
  <c r="AR160" i="4"/>
  <c r="AS160" i="4"/>
  <c r="AT160" i="4"/>
  <c r="AQ161" i="4"/>
  <c r="AR161" i="4"/>
  <c r="AS161" i="4"/>
  <c r="AT161" i="4"/>
  <c r="AQ162" i="4"/>
  <c r="AU162" i="4" s="1"/>
  <c r="AR162" i="4"/>
  <c r="AS162" i="4"/>
  <c r="AT162" i="4"/>
  <c r="AQ163" i="4"/>
  <c r="AR163" i="4"/>
  <c r="AS163" i="4"/>
  <c r="AT163" i="4"/>
  <c r="AQ164" i="4"/>
  <c r="AR164" i="4"/>
  <c r="AS164" i="4"/>
  <c r="AT164" i="4"/>
  <c r="AQ165" i="4"/>
  <c r="AR165" i="4"/>
  <c r="AS165" i="4"/>
  <c r="AT165" i="4"/>
  <c r="AQ166" i="4"/>
  <c r="AU166" i="4" s="1"/>
  <c r="AR166" i="4"/>
  <c r="AS166" i="4"/>
  <c r="AT166" i="4"/>
  <c r="AQ167" i="4"/>
  <c r="AR167" i="4"/>
  <c r="AS167" i="4"/>
  <c r="AT167" i="4"/>
  <c r="AQ168" i="4"/>
  <c r="AR168" i="4"/>
  <c r="AS168" i="4"/>
  <c r="AT168" i="4"/>
  <c r="AQ169" i="4"/>
  <c r="AR169" i="4"/>
  <c r="AS169" i="4"/>
  <c r="AT169" i="4"/>
  <c r="AQ170" i="4"/>
  <c r="AR170" i="4"/>
  <c r="AS170" i="4"/>
  <c r="AT170" i="4"/>
  <c r="AQ171" i="4"/>
  <c r="AR171" i="4"/>
  <c r="AS171" i="4"/>
  <c r="AT171" i="4"/>
  <c r="AQ172" i="4"/>
  <c r="AR172" i="4"/>
  <c r="AS172" i="4"/>
  <c r="AT172" i="4"/>
  <c r="AQ173" i="4"/>
  <c r="AR173" i="4"/>
  <c r="AS173" i="4"/>
  <c r="AT173" i="4"/>
  <c r="AQ174" i="4"/>
  <c r="AR174" i="4"/>
  <c r="AS174" i="4"/>
  <c r="AT174" i="4"/>
  <c r="AQ175" i="4"/>
  <c r="AR175" i="4"/>
  <c r="AS175" i="4"/>
  <c r="AT175" i="4"/>
  <c r="AQ176" i="4"/>
  <c r="AR176" i="4"/>
  <c r="AS176" i="4"/>
  <c r="AT176" i="4"/>
  <c r="AQ177" i="4"/>
  <c r="AR177" i="4"/>
  <c r="AS177" i="4"/>
  <c r="AT177" i="4"/>
  <c r="AQ178" i="4"/>
  <c r="AR178" i="4"/>
  <c r="AS178" i="4"/>
  <c r="AT178" i="4"/>
  <c r="AQ179" i="4"/>
  <c r="AR179" i="4"/>
  <c r="AS179" i="4"/>
  <c r="AT179" i="4"/>
  <c r="AQ180" i="4"/>
  <c r="AR180" i="4"/>
  <c r="AS180" i="4"/>
  <c r="AT180" i="4"/>
  <c r="AQ181" i="4"/>
  <c r="AR181" i="4"/>
  <c r="AS181" i="4"/>
  <c r="AT181" i="4"/>
  <c r="AQ182" i="4"/>
  <c r="AR182" i="4"/>
  <c r="AS182" i="4"/>
  <c r="AT182" i="4"/>
  <c r="AQ183" i="4"/>
  <c r="AR183" i="4"/>
  <c r="AS183" i="4"/>
  <c r="AT183" i="4"/>
  <c r="AQ184" i="4"/>
  <c r="AR184" i="4"/>
  <c r="AS184" i="4"/>
  <c r="AT184" i="4"/>
  <c r="AQ185" i="4"/>
  <c r="AR185" i="4"/>
  <c r="AS185" i="4"/>
  <c r="AT185" i="4"/>
  <c r="AQ186" i="4"/>
  <c r="AR186" i="4"/>
  <c r="AS186" i="4"/>
  <c r="AT186" i="4"/>
  <c r="AQ187" i="4"/>
  <c r="AR187" i="4"/>
  <c r="AS187" i="4"/>
  <c r="AT187" i="4"/>
  <c r="AQ188" i="4"/>
  <c r="AR188" i="4"/>
  <c r="AS188" i="4"/>
  <c r="AT188" i="4"/>
  <c r="AQ189" i="4"/>
  <c r="AR189" i="4"/>
  <c r="AS189" i="4"/>
  <c r="AT189" i="4"/>
  <c r="AQ190" i="4"/>
  <c r="AR190" i="4"/>
  <c r="AS190" i="4"/>
  <c r="AT190" i="4"/>
  <c r="AQ191" i="4"/>
  <c r="AR191" i="4"/>
  <c r="AS191" i="4"/>
  <c r="AT191" i="4"/>
  <c r="AQ192" i="4"/>
  <c r="AR192" i="4"/>
  <c r="AS192" i="4"/>
  <c r="AT192" i="4"/>
  <c r="AQ193" i="4"/>
  <c r="AR193" i="4"/>
  <c r="AS193" i="4"/>
  <c r="AT193" i="4"/>
  <c r="AQ194" i="4"/>
  <c r="AR194" i="4"/>
  <c r="AS194" i="4"/>
  <c r="AT194" i="4"/>
  <c r="AQ195" i="4"/>
  <c r="AR195" i="4"/>
  <c r="AS195" i="4"/>
  <c r="AT195" i="4"/>
  <c r="AQ196" i="4"/>
  <c r="AR196" i="4"/>
  <c r="AS196" i="4"/>
  <c r="AT196" i="4"/>
  <c r="AQ197" i="4"/>
  <c r="AR197" i="4"/>
  <c r="AS197" i="4"/>
  <c r="AT197" i="4"/>
  <c r="AQ198" i="4"/>
  <c r="AR198" i="4"/>
  <c r="AS198" i="4"/>
  <c r="AT198" i="4"/>
  <c r="AQ199" i="4"/>
  <c r="AR199" i="4"/>
  <c r="AS199" i="4"/>
  <c r="AT199" i="4"/>
  <c r="AQ200" i="4"/>
  <c r="AR200" i="4"/>
  <c r="AS200" i="4"/>
  <c r="AT200" i="4"/>
  <c r="AQ201" i="4"/>
  <c r="AR201" i="4"/>
  <c r="AS201" i="4"/>
  <c r="AT201" i="4"/>
  <c r="AQ202" i="4"/>
  <c r="AR202" i="4"/>
  <c r="AS202" i="4"/>
  <c r="AT202" i="4"/>
  <c r="AQ203" i="4"/>
  <c r="AR203" i="4"/>
  <c r="AS203" i="4"/>
  <c r="AT203" i="4"/>
  <c r="AQ204" i="4"/>
  <c r="AR204" i="4"/>
  <c r="AS204" i="4"/>
  <c r="AT204" i="4"/>
  <c r="AQ205" i="4"/>
  <c r="AR205" i="4"/>
  <c r="AS205" i="4"/>
  <c r="AT205" i="4"/>
  <c r="AQ206" i="4"/>
  <c r="AR206" i="4"/>
  <c r="AS206" i="4"/>
  <c r="AT206" i="4"/>
  <c r="AQ207" i="4"/>
  <c r="AR207" i="4"/>
  <c r="AS207" i="4"/>
  <c r="AT207" i="4"/>
  <c r="AQ208" i="4"/>
  <c r="AR208" i="4"/>
  <c r="AS208" i="4"/>
  <c r="AT208" i="4"/>
  <c r="AQ209" i="4"/>
  <c r="AR209" i="4"/>
  <c r="AS209" i="4"/>
  <c r="AT209" i="4"/>
  <c r="AQ210" i="4"/>
  <c r="AR210" i="4"/>
  <c r="AS210" i="4"/>
  <c r="AT210" i="4"/>
  <c r="AQ211" i="4"/>
  <c r="AR211" i="4"/>
  <c r="AS211" i="4"/>
  <c r="AT211" i="4"/>
  <c r="AQ212" i="4"/>
  <c r="AR212" i="4"/>
  <c r="AS212" i="4"/>
  <c r="AT212" i="4"/>
  <c r="AQ213" i="4"/>
  <c r="AR213" i="4"/>
  <c r="AS213" i="4"/>
  <c r="AT213" i="4"/>
  <c r="AQ214" i="4"/>
  <c r="AR214" i="4"/>
  <c r="AS214" i="4"/>
  <c r="AT214" i="4"/>
  <c r="AQ215" i="4"/>
  <c r="AR215" i="4"/>
  <c r="AS215" i="4"/>
  <c r="AT215" i="4"/>
  <c r="AQ216" i="4"/>
  <c r="AR216" i="4"/>
  <c r="AS216" i="4"/>
  <c r="AT216" i="4"/>
  <c r="AQ217" i="4"/>
  <c r="AR217" i="4"/>
  <c r="AS217" i="4"/>
  <c r="AT217" i="4"/>
  <c r="AQ218" i="4"/>
  <c r="AR218" i="4"/>
  <c r="AS218" i="4"/>
  <c r="AT218" i="4"/>
  <c r="AQ219" i="4"/>
  <c r="AR219" i="4"/>
  <c r="AS219" i="4"/>
  <c r="AT219" i="4"/>
  <c r="AQ220" i="4"/>
  <c r="AR220" i="4"/>
  <c r="AS220" i="4"/>
  <c r="AT220" i="4"/>
  <c r="AQ221" i="4"/>
  <c r="AR221" i="4"/>
  <c r="AS221" i="4"/>
  <c r="AT221" i="4"/>
  <c r="AQ222" i="4"/>
  <c r="AR222" i="4"/>
  <c r="AS222" i="4"/>
  <c r="AT222" i="4"/>
  <c r="AQ223" i="4"/>
  <c r="AR223" i="4"/>
  <c r="AS223" i="4"/>
  <c r="AT223" i="4"/>
  <c r="AQ224" i="4"/>
  <c r="AR224" i="4"/>
  <c r="AS224" i="4"/>
  <c r="AT224" i="4"/>
  <c r="AQ225" i="4"/>
  <c r="AR225" i="4"/>
  <c r="AS225" i="4"/>
  <c r="AT225" i="4"/>
  <c r="AQ226" i="4"/>
  <c r="AR226" i="4"/>
  <c r="AS226" i="4"/>
  <c r="AT226" i="4"/>
  <c r="AQ227" i="4"/>
  <c r="AR227" i="4"/>
  <c r="AS227" i="4"/>
  <c r="AT227" i="4"/>
  <c r="AQ228" i="4"/>
  <c r="AR228" i="4"/>
  <c r="AS228" i="4"/>
  <c r="AT228" i="4"/>
  <c r="AQ229" i="4"/>
  <c r="AR229" i="4"/>
  <c r="AS229" i="4"/>
  <c r="AT229" i="4"/>
  <c r="AQ230" i="4"/>
  <c r="AR230" i="4"/>
  <c r="AS230" i="4"/>
  <c r="AT230" i="4"/>
  <c r="AQ231" i="4"/>
  <c r="AR231" i="4"/>
  <c r="AS231" i="4"/>
  <c r="AT231" i="4"/>
  <c r="AQ232" i="4"/>
  <c r="AR232" i="4"/>
  <c r="AS232" i="4"/>
  <c r="AT232" i="4"/>
  <c r="AQ233" i="4"/>
  <c r="AR233" i="4"/>
  <c r="AS233" i="4"/>
  <c r="AT233" i="4"/>
  <c r="AQ234" i="4"/>
  <c r="AR234" i="4"/>
  <c r="AS234" i="4"/>
  <c r="AT234" i="4"/>
  <c r="AQ235" i="4"/>
  <c r="AR235" i="4"/>
  <c r="AS235" i="4"/>
  <c r="AT235" i="4"/>
  <c r="BZ51" i="4"/>
  <c r="AU24" i="6"/>
  <c r="AU71" i="6"/>
  <c r="AU81" i="6"/>
  <c r="AU91" i="6"/>
  <c r="AU96" i="6"/>
  <c r="AU87" i="6"/>
  <c r="AU103" i="6"/>
  <c r="AU39" i="6"/>
  <c r="AU93" i="6"/>
  <c r="AU95" i="6"/>
  <c r="AU8" i="6"/>
  <c r="AU10" i="6"/>
  <c r="AU65" i="6"/>
  <c r="AU94" i="6"/>
  <c r="CP6" i="6"/>
  <c r="CQ5" i="6"/>
  <c r="CQ6" i="6"/>
  <c r="CC24" i="6"/>
  <c r="CD24" i="6"/>
  <c r="BZ51" i="6"/>
  <c r="CH57" i="6" s="1"/>
  <c r="CG39" i="6"/>
  <c r="AU5" i="6"/>
  <c r="AU31" i="6"/>
  <c r="AU2" i="6"/>
  <c r="AU46" i="6"/>
  <c r="AU35" i="6"/>
  <c r="AU60" i="6"/>
  <c r="AU52" i="6"/>
  <c r="AU7" i="6"/>
  <c r="BP47" i="6"/>
  <c r="BP48" i="6" s="1"/>
  <c r="DW18" i="6" s="1"/>
  <c r="CC18" i="6" s="1"/>
  <c r="CD18" i="6" s="1"/>
  <c r="FW19" i="6"/>
  <c r="FW21" i="6" s="1"/>
  <c r="C17" i="6"/>
  <c r="AU102" i="4"/>
  <c r="AU111" i="4"/>
  <c r="AU79" i="4"/>
  <c r="AU173" i="4"/>
  <c r="AU121" i="4"/>
  <c r="AU108" i="4"/>
  <c r="AU97" i="4"/>
  <c r="CC21" i="4"/>
  <c r="CD21" i="4" s="1"/>
  <c r="CD51" i="4" s="1"/>
  <c r="EI39" i="4"/>
  <c r="AU14" i="4"/>
  <c r="IQ5" i="4"/>
  <c r="IQ6" i="4" s="1"/>
  <c r="CB18" i="4"/>
  <c r="ER6" i="4"/>
  <c r="ES5" i="4"/>
  <c r="ES6" i="4" s="1"/>
  <c r="AU158" i="4"/>
  <c r="AU122" i="4"/>
  <c r="EM33" i="4"/>
  <c r="BY30" i="4"/>
  <c r="CC45" i="4" s="1"/>
  <c r="CD75" i="4" s="1"/>
  <c r="AU119" i="4"/>
  <c r="AU65" i="4"/>
  <c r="DE27" i="4"/>
  <c r="EE66" i="4" s="1"/>
  <c r="AU93" i="4"/>
  <c r="AU164" i="4" l="1"/>
  <c r="CC3" i="4"/>
  <c r="BZ3" i="4"/>
  <c r="CE3" i="4"/>
  <c r="CG3" i="4" s="1"/>
  <c r="CK3" i="4" s="1"/>
  <c r="AU47" i="6"/>
  <c r="AU51" i="6"/>
  <c r="AU50" i="6"/>
  <c r="CA3" i="4"/>
  <c r="EI3" i="4" s="1"/>
  <c r="CC33" i="4"/>
  <c r="CD33" i="4" s="1"/>
  <c r="CC48" i="4"/>
  <c r="CD78" i="4" s="1"/>
  <c r="CE30" i="4"/>
  <c r="CG33" i="4" s="1"/>
  <c r="CW57" i="4" s="1"/>
  <c r="EG42" i="4"/>
  <c r="AU32" i="6"/>
  <c r="CE42" i="6"/>
  <c r="CC48" i="6"/>
  <c r="CD78" i="6" s="1"/>
  <c r="CA51" i="6"/>
  <c r="CB69" i="6" s="1"/>
  <c r="AU34" i="6"/>
  <c r="AU40" i="6"/>
  <c r="CC33" i="6"/>
  <c r="CD33" i="6" s="1"/>
  <c r="CB60" i="6"/>
  <c r="FT6" i="6"/>
  <c r="CF48" i="4"/>
  <c r="EJ57" i="4"/>
  <c r="CB57" i="6"/>
  <c r="CC30" i="6"/>
  <c r="CD30" i="6" s="1"/>
  <c r="CD60" i="6" s="1"/>
  <c r="AU45" i="6"/>
  <c r="AU54" i="6"/>
  <c r="EG3" i="4"/>
  <c r="EK3" i="4" s="1"/>
  <c r="AU57" i="4"/>
  <c r="AU53" i="4"/>
  <c r="AU49" i="4"/>
  <c r="AU45" i="4"/>
  <c r="AU87" i="4"/>
  <c r="AU9" i="6"/>
  <c r="AU12" i="6"/>
  <c r="AU19" i="6"/>
  <c r="BY30" i="6"/>
  <c r="CG36" i="6" s="1"/>
  <c r="DI3" i="4"/>
  <c r="DQ48" i="4"/>
  <c r="DX3" i="4"/>
  <c r="DQ3" i="4"/>
  <c r="DY60" i="4"/>
  <c r="EF3" i="4"/>
  <c r="DY3" i="4"/>
  <c r="DH3" i="4"/>
  <c r="AU21" i="6"/>
  <c r="DI36" i="4"/>
  <c r="DP3" i="4"/>
  <c r="AU6" i="4"/>
  <c r="AU11" i="4"/>
  <c r="AU25" i="4"/>
  <c r="AU17" i="4"/>
  <c r="AU82" i="4"/>
  <c r="AU116" i="4"/>
  <c r="AU146" i="4"/>
  <c r="AU144" i="4"/>
  <c r="AU28" i="4"/>
  <c r="AU55" i="4"/>
  <c r="AU47" i="4"/>
  <c r="AU69" i="4"/>
  <c r="AU77" i="4"/>
  <c r="AU107" i="4"/>
  <c r="AU100" i="4"/>
  <c r="DC66" i="4"/>
  <c r="CM42" i="4"/>
  <c r="CK39" i="4"/>
  <c r="CI36" i="4"/>
  <c r="CO45" i="4"/>
  <c r="CY60" i="4"/>
  <c r="CU54" i="4"/>
  <c r="CS51" i="4"/>
  <c r="CW3" i="4"/>
  <c r="DC3" i="4"/>
  <c r="DA3" i="4"/>
  <c r="CQ3" i="4"/>
  <c r="CM3" i="4"/>
  <c r="CS3" i="4"/>
  <c r="CC30" i="4"/>
  <c r="CD30" i="4" s="1"/>
  <c r="CD60" i="4" s="1"/>
  <c r="CB57" i="4"/>
  <c r="CA48" i="6"/>
  <c r="CB66" i="6" s="1"/>
  <c r="AV2" i="6"/>
  <c r="EU86" i="4"/>
  <c r="EU156" i="4"/>
  <c r="FJ156" i="4"/>
  <c r="FJ86" i="4"/>
  <c r="CC21" i="6"/>
  <c r="CD21" i="6" s="1"/>
  <c r="CD51" i="6" s="1"/>
  <c r="CB15" i="6"/>
  <c r="FW20" i="6"/>
  <c r="FX21" i="6" s="1"/>
  <c r="EZ16" i="6"/>
  <c r="BP54" i="6"/>
  <c r="EL16" i="6"/>
  <c r="FD16" i="6"/>
  <c r="EP16" i="6"/>
  <c r="BI60" i="6"/>
  <c r="CS16" i="6"/>
  <c r="BF43" i="6"/>
  <c r="BF46" i="6" s="1"/>
  <c r="BF47" i="6" s="1"/>
  <c r="BP63" i="6"/>
  <c r="DH16" i="6"/>
  <c r="BJ49" i="6"/>
  <c r="BI61" i="6"/>
  <c r="BZ3" i="6"/>
  <c r="CC3" i="6"/>
  <c r="CA3" i="6"/>
  <c r="CG3" i="6" s="1"/>
  <c r="CE3" i="6"/>
  <c r="CI3" i="6" s="1"/>
  <c r="CK33" i="6"/>
  <c r="AU148" i="4"/>
  <c r="AU142" i="4"/>
  <c r="AU2" i="4"/>
  <c r="AU4" i="4"/>
  <c r="AU27" i="4"/>
  <c r="AU19" i="4"/>
  <c r="AU51" i="4"/>
  <c r="AU41" i="4"/>
  <c r="AU40" i="4"/>
  <c r="AU39" i="4"/>
  <c r="AU33" i="4"/>
  <c r="AU32" i="4"/>
  <c r="AU31" i="4"/>
  <c r="AU73" i="4"/>
  <c r="AU61" i="4"/>
  <c r="AU109" i="4"/>
  <c r="EF126" i="4"/>
  <c r="DX102" i="4"/>
  <c r="DP78" i="4"/>
  <c r="DH54" i="4"/>
  <c r="ED120" i="4"/>
  <c r="DN72" i="4"/>
  <c r="DZ108" i="4"/>
  <c r="DV96" i="4"/>
  <c r="DJ60" i="4"/>
  <c r="EB114" i="4"/>
  <c r="DT90" i="4"/>
  <c r="DL66" i="4"/>
  <c r="DR84" i="4"/>
  <c r="DG3" i="4"/>
  <c r="DM3" i="4"/>
  <c r="DU3" i="4"/>
  <c r="EC3" i="4"/>
  <c r="DM42" i="4"/>
  <c r="DU54" i="4"/>
  <c r="EC66" i="4"/>
  <c r="DL3" i="4"/>
  <c r="DT3" i="4"/>
  <c r="EB3" i="4"/>
  <c r="DG33" i="4"/>
  <c r="DO3" i="4"/>
  <c r="DW3" i="4"/>
  <c r="EE3" i="4"/>
  <c r="DO45" i="4"/>
  <c r="DW57" i="4"/>
  <c r="EE69" i="4"/>
  <c r="DN3" i="4"/>
  <c r="DV3" i="4"/>
  <c r="ED3" i="4"/>
  <c r="DK3" i="4"/>
  <c r="DS3" i="4"/>
  <c r="DK39" i="4"/>
  <c r="DS51" i="4"/>
  <c r="DJ3" i="4"/>
  <c r="DR3" i="4"/>
  <c r="IP145" i="4"/>
  <c r="IP75" i="4"/>
  <c r="HU76" i="4"/>
  <c r="HU75" i="4"/>
  <c r="HV76" i="4"/>
  <c r="AU23" i="4"/>
  <c r="AU89" i="4"/>
  <c r="AU85" i="4"/>
  <c r="AU95" i="4"/>
  <c r="AU150" i="4"/>
  <c r="DF45" i="4"/>
  <c r="DI33" i="4"/>
  <c r="DM39" i="4"/>
  <c r="DQ45" i="4"/>
  <c r="DU51" i="4"/>
  <c r="DY57" i="4"/>
  <c r="EC63" i="4"/>
  <c r="DG30" i="4"/>
  <c r="DK36" i="4"/>
  <c r="DO42" i="4"/>
  <c r="DS48" i="4"/>
  <c r="DW54" i="4"/>
  <c r="EA60" i="4"/>
  <c r="CA48" i="4"/>
  <c r="CB66" i="4" s="1"/>
  <c r="EI36" i="4"/>
  <c r="BZ48" i="4"/>
  <c r="EG39" i="4"/>
  <c r="CE27" i="4"/>
  <c r="CG30" i="4" s="1"/>
  <c r="AU151" i="4"/>
  <c r="AU3" i="4"/>
  <c r="AU10" i="4"/>
  <c r="AU29" i="4"/>
  <c r="AU24" i="4"/>
  <c r="AU20" i="4"/>
  <c r="AU16" i="4"/>
  <c r="AU56" i="4"/>
  <c r="AU48" i="4"/>
  <c r="AU44" i="4"/>
  <c r="AU42" i="4"/>
  <c r="AU36" i="4"/>
  <c r="AU34" i="4"/>
  <c r="AU74" i="4"/>
  <c r="AU101" i="4"/>
  <c r="AU141" i="4"/>
  <c r="AU130" i="4"/>
  <c r="AU112" i="4"/>
  <c r="AU110" i="4"/>
  <c r="AU99" i="4"/>
  <c r="AU70" i="4"/>
  <c r="AU90" i="4"/>
  <c r="AU78" i="4"/>
  <c r="AU167" i="4"/>
  <c r="AU163" i="4"/>
  <c r="AU159" i="4"/>
  <c r="AU155" i="4"/>
  <c r="AU147" i="4"/>
  <c r="AU143" i="4"/>
  <c r="AU139" i="4"/>
  <c r="AU135" i="4"/>
  <c r="AU131" i="4"/>
  <c r="AU125" i="4"/>
  <c r="AU7" i="4"/>
  <c r="AU13" i="4"/>
  <c r="AU8" i="4"/>
  <c r="AU21" i="4"/>
  <c r="AU46" i="4"/>
  <c r="AU38" i="4"/>
  <c r="AU30" i="4"/>
  <c r="AU88" i="4"/>
  <c r="AU84" i="4"/>
  <c r="AU113" i="4"/>
  <c r="AU106" i="4"/>
  <c r="AU98" i="4"/>
  <c r="AU12" i="4"/>
  <c r="AU9" i="4"/>
  <c r="AU26" i="4"/>
  <c r="AU22" i="4"/>
  <c r="AU18" i="4"/>
  <c r="AU15" i="4"/>
  <c r="AU58" i="4"/>
  <c r="AU54" i="4"/>
  <c r="AU50" i="4"/>
  <c r="AU66" i="4"/>
  <c r="AU67" i="4"/>
  <c r="AU76" i="4"/>
  <c r="AU72" i="4"/>
  <c r="AU80" i="4"/>
  <c r="AU115" i="4"/>
  <c r="AU103" i="4"/>
  <c r="AU94" i="4"/>
  <c r="AU64" i="4"/>
  <c r="AU62" i="4"/>
  <c r="AU59" i="4"/>
  <c r="AU165" i="4"/>
  <c r="AU161" i="4"/>
  <c r="AU157" i="4"/>
  <c r="AU153" i="4"/>
  <c r="AU149" i="4"/>
  <c r="AU145" i="4"/>
  <c r="AU137" i="4"/>
  <c r="AU133" i="4"/>
  <c r="AU129" i="4"/>
  <c r="AU127" i="4"/>
  <c r="AU168" i="4"/>
  <c r="AU160" i="4"/>
  <c r="AU156" i="4"/>
  <c r="AU152" i="4"/>
  <c r="AU140" i="4"/>
  <c r="AU136" i="4"/>
  <c r="AU132" i="4"/>
  <c r="AU5" i="4"/>
  <c r="AU60" i="4"/>
  <c r="AU91" i="4"/>
  <c r="AU114" i="4"/>
  <c r="BI61" i="4"/>
  <c r="HY19" i="4"/>
  <c r="HB16" i="4"/>
  <c r="BJ49" i="4"/>
  <c r="BP63" i="4"/>
  <c r="IS42" i="4"/>
  <c r="BP54" i="4"/>
  <c r="EU16" i="4"/>
  <c r="IS16" i="4"/>
  <c r="BI60" i="4"/>
  <c r="GR16" i="4"/>
  <c r="BP47" i="4"/>
  <c r="BP48" i="4" s="1"/>
  <c r="FJ16" i="4"/>
  <c r="GN16" i="4"/>
  <c r="HF16" i="4"/>
  <c r="BF43" i="4"/>
  <c r="BF46" i="4" s="1"/>
  <c r="BZ48" i="6" l="1"/>
  <c r="CH54" i="6" s="1"/>
  <c r="CE39" i="6"/>
  <c r="EH69" i="4"/>
  <c r="EL75" i="4" s="1"/>
  <c r="EK48" i="4"/>
  <c r="CC45" i="6"/>
  <c r="CD75" i="6" s="1"/>
  <c r="CU3" i="4"/>
  <c r="CI3" i="4"/>
  <c r="CO3" i="4"/>
  <c r="EH3" i="4"/>
  <c r="EL3" i="4" s="1"/>
  <c r="CF3" i="4"/>
  <c r="CD3" i="4"/>
  <c r="CB3" i="4"/>
  <c r="EJ3" i="4"/>
  <c r="CY3" i="4"/>
  <c r="DA63" i="4"/>
  <c r="CQ48" i="4"/>
  <c r="CP78" i="4"/>
  <c r="CV96" i="4"/>
  <c r="CL66" i="4"/>
  <c r="CX102" i="4"/>
  <c r="CT90" i="4"/>
  <c r="DB114" i="4"/>
  <c r="CZ108" i="4"/>
  <c r="CN72" i="4"/>
  <c r="CH54" i="4"/>
  <c r="DD120" i="4"/>
  <c r="CJ60" i="4"/>
  <c r="CR84" i="4"/>
  <c r="CF69" i="6"/>
  <c r="CJ75" i="6" s="1"/>
  <c r="CI48" i="6"/>
  <c r="FJ83" i="4"/>
  <c r="EU159" i="4"/>
  <c r="EU153" i="4"/>
  <c r="FJ153" i="4"/>
  <c r="FJ159" i="4"/>
  <c r="FJ89" i="4"/>
  <c r="EU83" i="4"/>
  <c r="EU89" i="4"/>
  <c r="CH3" i="6"/>
  <c r="CB3" i="6"/>
  <c r="CD3" i="6"/>
  <c r="CF3" i="6"/>
  <c r="CJ3" i="6" s="1"/>
  <c r="CS18" i="6"/>
  <c r="CS17" i="6"/>
  <c r="CT18" i="6" s="1"/>
  <c r="EL19" i="6"/>
  <c r="EL18" i="6"/>
  <c r="EL28" i="6"/>
  <c r="EL25" i="6"/>
  <c r="EL17" i="6"/>
  <c r="EM18" i="6"/>
  <c r="EL22" i="6"/>
  <c r="FJ157" i="4"/>
  <c r="FK158" i="4" s="1"/>
  <c r="FJ158" i="4"/>
  <c r="HF156" i="4"/>
  <c r="HF86" i="4"/>
  <c r="HB86" i="4"/>
  <c r="HB156" i="4"/>
  <c r="FW22" i="6"/>
  <c r="FW16" i="6"/>
  <c r="FA18" i="6"/>
  <c r="EZ18" i="6"/>
  <c r="EZ22" i="6"/>
  <c r="EZ17" i="6"/>
  <c r="EZ25" i="6"/>
  <c r="EZ19" i="6"/>
  <c r="EZ28" i="6"/>
  <c r="EU87" i="4"/>
  <c r="EV88" i="4" s="1"/>
  <c r="EU88" i="4"/>
  <c r="IS156" i="4"/>
  <c r="IS86" i="4"/>
  <c r="DH17" i="6"/>
  <c r="DH18" i="6"/>
  <c r="DI18" i="6"/>
  <c r="DH19" i="6"/>
  <c r="CS13" i="6"/>
  <c r="DH13" i="6"/>
  <c r="CS19" i="6"/>
  <c r="BP56" i="6"/>
  <c r="EU157" i="4"/>
  <c r="EV158" i="4" s="1"/>
  <c r="EU158" i="4"/>
  <c r="EN25" i="6"/>
  <c r="EP17" i="6"/>
  <c r="EN19" i="6"/>
  <c r="EP18" i="6"/>
  <c r="EP22" i="6"/>
  <c r="GR156" i="4"/>
  <c r="GR86" i="4"/>
  <c r="AW2" i="6"/>
  <c r="AV3" i="6" s="1"/>
  <c r="BE12" i="6"/>
  <c r="AX2" i="6"/>
  <c r="AY2" i="6" s="1"/>
  <c r="AZ2" i="6" s="1"/>
  <c r="GN86" i="4"/>
  <c r="GN156" i="4"/>
  <c r="IS182" i="4"/>
  <c r="IS112" i="4"/>
  <c r="HY159" i="4"/>
  <c r="HY89" i="4"/>
  <c r="FD18" i="6"/>
  <c r="FD22" i="6"/>
  <c r="FD17" i="6"/>
  <c r="FB19" i="6"/>
  <c r="FB25" i="6"/>
  <c r="FJ87" i="4"/>
  <c r="FK88" i="4" s="1"/>
  <c r="FJ88" i="4"/>
  <c r="CI45" i="6"/>
  <c r="CF66" i="6"/>
  <c r="CJ72" i="6" s="1"/>
  <c r="IQ75" i="4"/>
  <c r="IQ76" i="4" s="1"/>
  <c r="IP76" i="4"/>
  <c r="IQ145" i="4"/>
  <c r="IQ146" i="4" s="1"/>
  <c r="IP146" i="4"/>
  <c r="ED117" i="4"/>
  <c r="DZ105" i="4"/>
  <c r="DV93" i="4"/>
  <c r="DR81" i="4"/>
  <c r="DN69" i="4"/>
  <c r="DJ57" i="4"/>
  <c r="EF123" i="4"/>
  <c r="EB111" i="4"/>
  <c r="DX99" i="4"/>
  <c r="DT87" i="4"/>
  <c r="DP75" i="4"/>
  <c r="DL63" i="4"/>
  <c r="DH51" i="4"/>
  <c r="EH66" i="4"/>
  <c r="EL72" i="4" s="1"/>
  <c r="EK45" i="4"/>
  <c r="CF45" i="4"/>
  <c r="EJ54" i="4"/>
  <c r="CY57" i="4"/>
  <c r="CU51" i="4"/>
  <c r="CK36" i="4"/>
  <c r="DA60" i="4"/>
  <c r="CW54" i="4"/>
  <c r="CI33" i="4"/>
  <c r="DC63" i="4"/>
  <c r="CO42" i="4"/>
  <c r="CS48" i="4"/>
  <c r="CM39" i="4"/>
  <c r="CQ45" i="4"/>
  <c r="AV2" i="4"/>
  <c r="AX2" i="4" s="1"/>
  <c r="AY2" i="4" s="1"/>
  <c r="AZ2" i="4" s="1"/>
  <c r="C27" i="4"/>
  <c r="BF47" i="4"/>
  <c r="BR12" i="4"/>
  <c r="IJ25" i="4" s="1"/>
  <c r="FY18" i="4"/>
  <c r="CC18" i="4" s="1"/>
  <c r="CD18" i="4" s="1"/>
  <c r="EU17" i="4"/>
  <c r="EV18" i="4" s="1"/>
  <c r="EU18" i="4"/>
  <c r="HD19" i="4"/>
  <c r="HD25" i="4"/>
  <c r="HF18" i="4"/>
  <c r="HF17" i="4"/>
  <c r="HF22" i="4"/>
  <c r="FJ13" i="4"/>
  <c r="EU19" i="4"/>
  <c r="IP7" i="4"/>
  <c r="IS45" i="4"/>
  <c r="IS13" i="4"/>
  <c r="IS19" i="4"/>
  <c r="IS39" i="4"/>
  <c r="BP56" i="4"/>
  <c r="IP51" i="4"/>
  <c r="EU13" i="4"/>
  <c r="FJ19" i="4"/>
  <c r="HB22" i="4"/>
  <c r="HB25" i="4"/>
  <c r="HB17" i="4"/>
  <c r="HC18" i="4" s="1"/>
  <c r="HB28" i="4"/>
  <c r="HB19" i="4"/>
  <c r="HB18" i="4"/>
  <c r="GR18" i="4"/>
  <c r="GP19" i="4"/>
  <c r="GR17" i="4"/>
  <c r="GR22" i="4"/>
  <c r="GP25" i="4"/>
  <c r="GN22" i="4"/>
  <c r="GN17" i="4"/>
  <c r="GO18" i="4" s="1"/>
  <c r="GN28" i="4"/>
  <c r="GN19" i="4"/>
  <c r="GN25" i="4"/>
  <c r="GN18" i="4"/>
  <c r="IS43" i="4"/>
  <c r="IT44" i="4" s="1"/>
  <c r="IS44" i="4"/>
  <c r="HY20" i="4"/>
  <c r="HZ21" i="4" s="1"/>
  <c r="HY21" i="4"/>
  <c r="FJ17" i="4"/>
  <c r="FK18" i="4" s="1"/>
  <c r="FJ18" i="4"/>
  <c r="IS18" i="4"/>
  <c r="IS17" i="4"/>
  <c r="IT18" i="4" s="1"/>
  <c r="HY16" i="4"/>
  <c r="HY22" i="4"/>
  <c r="CZ3" i="4" l="1"/>
  <c r="CJ3" i="4"/>
  <c r="CT3" i="4"/>
  <c r="CH3" i="4"/>
  <c r="CP3" i="4"/>
  <c r="CV3" i="4"/>
  <c r="DB3" i="4"/>
  <c r="CX3" i="4"/>
  <c r="CN3" i="4"/>
  <c r="DD3" i="4"/>
  <c r="CL3" i="4"/>
  <c r="CR3" i="4"/>
  <c r="AW2" i="4"/>
  <c r="AV3" i="4" s="1"/>
  <c r="AX3" i="4" s="1"/>
  <c r="AY3" i="4" s="1"/>
  <c r="AZ3" i="4" s="1"/>
  <c r="IS159" i="4"/>
  <c r="IS89" i="4"/>
  <c r="FB21" i="6"/>
  <c r="FB20" i="6"/>
  <c r="FC21" i="6" s="1"/>
  <c r="IP191" i="4"/>
  <c r="IP121" i="4"/>
  <c r="IS83" i="4"/>
  <c r="IS153" i="4"/>
  <c r="HY162" i="4"/>
  <c r="HY92" i="4"/>
  <c r="HY156" i="4"/>
  <c r="HY86" i="4"/>
  <c r="IS179" i="4"/>
  <c r="IS109" i="4"/>
  <c r="IP147" i="4"/>
  <c r="IP77" i="4"/>
  <c r="FB26" i="6"/>
  <c r="FC27" i="6"/>
  <c r="FB27" i="6"/>
  <c r="IS183" i="4"/>
  <c r="IT184" i="4" s="1"/>
  <c r="IS184" i="4"/>
  <c r="BP39" i="6"/>
  <c r="BP40" i="6" s="1"/>
  <c r="BP41" i="6" s="1"/>
  <c r="C24" i="6"/>
  <c r="BE15" i="6" s="1"/>
  <c r="C23" i="6"/>
  <c r="BP42" i="6"/>
  <c r="C22" i="6"/>
  <c r="EP24" i="6"/>
  <c r="EP23" i="6"/>
  <c r="EQ24" i="6" s="1"/>
  <c r="EN27" i="6"/>
  <c r="EN26" i="6"/>
  <c r="EO27" i="6" s="1"/>
  <c r="FK13" i="6"/>
  <c r="CP7" i="6"/>
  <c r="DH21" i="6"/>
  <c r="DH20" i="6"/>
  <c r="FW18" i="6"/>
  <c r="FW17" i="6"/>
  <c r="HD95" i="4"/>
  <c r="HF88" i="4"/>
  <c r="HF92" i="4"/>
  <c r="HF87" i="4"/>
  <c r="HD89" i="4"/>
  <c r="EL27" i="6"/>
  <c r="EL26" i="6"/>
  <c r="EM27" i="6" s="1"/>
  <c r="EU84" i="4"/>
  <c r="EU85" i="4"/>
  <c r="EU155" i="4"/>
  <c r="EU154" i="4"/>
  <c r="HY90" i="4"/>
  <c r="HZ91" i="4" s="1"/>
  <c r="HY91" i="4"/>
  <c r="GN168" i="4"/>
  <c r="GN158" i="4"/>
  <c r="GN159" i="4"/>
  <c r="GN162" i="4"/>
  <c r="GN157" i="4"/>
  <c r="GO158" i="4" s="1"/>
  <c r="GN165" i="4"/>
  <c r="AX3" i="6"/>
  <c r="AY3" i="6" s="1"/>
  <c r="AZ3" i="6" s="1"/>
  <c r="AW3" i="6"/>
  <c r="AV4" i="6" s="1"/>
  <c r="CS20" i="6"/>
  <c r="CS21" i="6"/>
  <c r="IS87" i="4"/>
  <c r="IT88" i="4" s="1"/>
  <c r="IS88" i="4"/>
  <c r="EZ29" i="6"/>
  <c r="EZ30" i="6"/>
  <c r="EZ23" i="6"/>
  <c r="FA24" i="6" s="1"/>
  <c r="EZ24" i="6"/>
  <c r="FW23" i="6"/>
  <c r="FW24" i="6"/>
  <c r="HF158" i="4"/>
  <c r="HD165" i="4"/>
  <c r="HD159" i="4"/>
  <c r="HF157" i="4"/>
  <c r="HF162" i="4"/>
  <c r="EL23" i="6"/>
  <c r="EL24" i="6"/>
  <c r="EM24" i="6"/>
  <c r="EL30" i="6"/>
  <c r="EL29" i="6"/>
  <c r="FJ91" i="4"/>
  <c r="FJ90" i="4"/>
  <c r="EU160" i="4"/>
  <c r="EU161" i="4"/>
  <c r="HY160" i="4"/>
  <c r="HZ161" i="4" s="1"/>
  <c r="HY161" i="4"/>
  <c r="GN98" i="4"/>
  <c r="GN89" i="4"/>
  <c r="GN87" i="4"/>
  <c r="GO88" i="4" s="1"/>
  <c r="GN92" i="4"/>
  <c r="GN88" i="4"/>
  <c r="GN95" i="4"/>
  <c r="GP95" i="4"/>
  <c r="GR88" i="4"/>
  <c r="GR92" i="4"/>
  <c r="GR87" i="4"/>
  <c r="GP89" i="4"/>
  <c r="EN20" i="6"/>
  <c r="EO21" i="6" s="1"/>
  <c r="EN21" i="6"/>
  <c r="DD25" i="6"/>
  <c r="DH15" i="6"/>
  <c r="DH14" i="6"/>
  <c r="IS158" i="4"/>
  <c r="IS157" i="4"/>
  <c r="IT158" i="4" s="1"/>
  <c r="EZ21" i="6"/>
  <c r="EZ20" i="6"/>
  <c r="FA21" i="6" s="1"/>
  <c r="HB168" i="4"/>
  <c r="HB157" i="4"/>
  <c r="HC158" i="4" s="1"/>
  <c r="HB159" i="4"/>
  <c r="HB162" i="4"/>
  <c r="HB165" i="4"/>
  <c r="HB158" i="4"/>
  <c r="FJ161" i="4"/>
  <c r="FJ160" i="4"/>
  <c r="FJ84" i="4"/>
  <c r="FJ85" i="4"/>
  <c r="FF95" i="4"/>
  <c r="IS185" i="4"/>
  <c r="IS115" i="4"/>
  <c r="FD24" i="6"/>
  <c r="FD23" i="6"/>
  <c r="FE24" i="6" s="1"/>
  <c r="IS114" i="4"/>
  <c r="IS113" i="4"/>
  <c r="IT114" i="4" s="1"/>
  <c r="GR162" i="4"/>
  <c r="GR157" i="4"/>
  <c r="GP165" i="4"/>
  <c r="GP159" i="4"/>
  <c r="GR158" i="4"/>
  <c r="EC40" i="6"/>
  <c r="CS15" i="6"/>
  <c r="CS14" i="6"/>
  <c r="EZ26" i="6"/>
  <c r="FA27" i="6" s="1"/>
  <c r="EZ27" i="6"/>
  <c r="HB92" i="4"/>
  <c r="HB95" i="4"/>
  <c r="HB89" i="4"/>
  <c r="HB98" i="4"/>
  <c r="HB87" i="4"/>
  <c r="HC88" i="4" s="1"/>
  <c r="HB88" i="4"/>
  <c r="EL21" i="6"/>
  <c r="EL20" i="6"/>
  <c r="EM21" i="6" s="1"/>
  <c r="EU90" i="4"/>
  <c r="EU91" i="4"/>
  <c r="FJ155" i="4"/>
  <c r="FJ154" i="4"/>
  <c r="FF165" i="4"/>
  <c r="ER7" i="4"/>
  <c r="EQ25" i="4" s="1"/>
  <c r="ER147" i="4"/>
  <c r="ER77" i="4"/>
  <c r="IJ165" i="4"/>
  <c r="IJ95" i="4"/>
  <c r="DB111" i="4"/>
  <c r="CP75" i="4"/>
  <c r="CJ57" i="4"/>
  <c r="CN69" i="4"/>
  <c r="CL63" i="4"/>
  <c r="DD117" i="4"/>
  <c r="CT87" i="4"/>
  <c r="CV93" i="4"/>
  <c r="CR81" i="4"/>
  <c r="CH51" i="4"/>
  <c r="CZ105" i="4"/>
  <c r="CX99" i="4"/>
  <c r="GP27" i="4"/>
  <c r="GP26" i="4"/>
  <c r="GQ27" i="4" s="1"/>
  <c r="GR23" i="4"/>
  <c r="GS24" i="4" s="1"/>
  <c r="GR24" i="4"/>
  <c r="GE40" i="4"/>
  <c r="EU14" i="4"/>
  <c r="EU15" i="4"/>
  <c r="IS21" i="4"/>
  <c r="IS20" i="4"/>
  <c r="EU20" i="4"/>
  <c r="EU21" i="4"/>
  <c r="GN26" i="4"/>
  <c r="GO27" i="4" s="1"/>
  <c r="GN27" i="4"/>
  <c r="HB21" i="4"/>
  <c r="HB20" i="4"/>
  <c r="HC21" i="4" s="1"/>
  <c r="IP52" i="4"/>
  <c r="IQ53" i="4" s="1"/>
  <c r="IP53" i="4"/>
  <c r="IS15" i="4"/>
  <c r="IS14" i="4"/>
  <c r="FJ15" i="4"/>
  <c r="FF25" i="4"/>
  <c r="FJ14" i="4"/>
  <c r="HD27" i="4"/>
  <c r="HD26" i="4"/>
  <c r="HE27" i="4" s="1"/>
  <c r="HY24" i="4"/>
  <c r="HY23" i="4"/>
  <c r="GN20" i="4"/>
  <c r="GO21" i="4" s="1"/>
  <c r="GN21" i="4"/>
  <c r="GN24" i="4"/>
  <c r="GN23" i="4"/>
  <c r="GO24" i="4" s="1"/>
  <c r="GP21" i="4"/>
  <c r="GP20" i="4"/>
  <c r="GQ21" i="4" s="1"/>
  <c r="HB23" i="4"/>
  <c r="HC24" i="4" s="1"/>
  <c r="HB24" i="4"/>
  <c r="HM13" i="4"/>
  <c r="IS47" i="4"/>
  <c r="IS46" i="4"/>
  <c r="HF23" i="4"/>
  <c r="HG24" i="4" s="1"/>
  <c r="HF24" i="4"/>
  <c r="HD20" i="4"/>
  <c r="HE21" i="4" s="1"/>
  <c r="HD21" i="4"/>
  <c r="HY17" i="4"/>
  <c r="HY18" i="4"/>
  <c r="HB29" i="4"/>
  <c r="HB30" i="4"/>
  <c r="FJ21" i="4"/>
  <c r="FJ20" i="4"/>
  <c r="IS40" i="4"/>
  <c r="IS41" i="4"/>
  <c r="IP8" i="4"/>
  <c r="IQ9" i="4" s="1"/>
  <c r="IP9" i="4"/>
  <c r="IJ27" i="4"/>
  <c r="IJ26" i="4"/>
  <c r="IK27" i="4" s="1"/>
  <c r="GN30" i="4"/>
  <c r="GN29" i="4"/>
  <c r="HB26" i="4"/>
  <c r="HC27" i="4" s="1"/>
  <c r="HB27" i="4"/>
  <c r="AW3" i="4"/>
  <c r="AV4" i="4" s="1"/>
  <c r="FF167" i="4" l="1"/>
  <c r="FF166" i="4"/>
  <c r="FG167" i="4" s="1"/>
  <c r="GP167" i="4"/>
  <c r="GP166" i="4"/>
  <c r="GQ167" i="4" s="1"/>
  <c r="IS116" i="4"/>
  <c r="IS117" i="4"/>
  <c r="HB100" i="4"/>
  <c r="HB99" i="4"/>
  <c r="GP161" i="4"/>
  <c r="GP160" i="4"/>
  <c r="GQ161" i="4" s="1"/>
  <c r="HB160" i="4"/>
  <c r="HC161" i="4" s="1"/>
  <c r="HB161" i="4"/>
  <c r="GR93" i="4"/>
  <c r="GS94" i="4" s="1"/>
  <c r="GR94" i="4"/>
  <c r="GN99" i="4"/>
  <c r="GN100" i="4"/>
  <c r="HD167" i="4"/>
  <c r="HD166" i="4"/>
  <c r="HE167" i="4" s="1"/>
  <c r="GN166" i="4"/>
  <c r="GO167" i="4" s="1"/>
  <c r="GN167" i="4"/>
  <c r="DX40" i="6"/>
  <c r="CO25" i="6"/>
  <c r="CP8" i="6"/>
  <c r="CQ9" i="6" s="1"/>
  <c r="CP9" i="6"/>
  <c r="FK10" i="6"/>
  <c r="BE13" i="6"/>
  <c r="IP149" i="4"/>
  <c r="IP148" i="4"/>
  <c r="IQ149" i="4" s="1"/>
  <c r="HY158" i="4"/>
  <c r="HY157" i="4"/>
  <c r="IS85" i="4"/>
  <c r="IS84" i="4"/>
  <c r="HB91" i="4"/>
  <c r="HB90" i="4"/>
  <c r="HC91" i="4" s="1"/>
  <c r="GN94" i="4"/>
  <c r="GN93" i="4"/>
  <c r="GO94" i="4" s="1"/>
  <c r="HF164" i="4"/>
  <c r="HF163" i="4"/>
  <c r="HG164" i="4" s="1"/>
  <c r="GN170" i="4"/>
  <c r="GN169" i="4"/>
  <c r="HF94" i="4"/>
  <c r="HF93" i="4"/>
  <c r="HG94" i="4" s="1"/>
  <c r="FK15" i="6"/>
  <c r="FK14" i="6"/>
  <c r="FL15" i="6" s="1"/>
  <c r="BP50" i="6"/>
  <c r="BP49" i="6"/>
  <c r="BT8" i="6"/>
  <c r="BT9" i="6"/>
  <c r="IS110" i="4"/>
  <c r="IS111" i="4"/>
  <c r="HY94" i="4"/>
  <c r="HY93" i="4"/>
  <c r="IP123" i="4"/>
  <c r="IP122" i="4"/>
  <c r="IQ123" i="4" s="1"/>
  <c r="HB97" i="4"/>
  <c r="HB96" i="4"/>
  <c r="HC97" i="4" s="1"/>
  <c r="EC41" i="6"/>
  <c r="ED42" i="6" s="1"/>
  <c r="EC42" i="6"/>
  <c r="IS187" i="4"/>
  <c r="IS186" i="4"/>
  <c r="HB166" i="4"/>
  <c r="HC167" i="4" s="1"/>
  <c r="HB167" i="4"/>
  <c r="HB170" i="4"/>
  <c r="HB169" i="4"/>
  <c r="DD26" i="6"/>
  <c r="DD27" i="6"/>
  <c r="DE27" i="6"/>
  <c r="GP90" i="4"/>
  <c r="GQ91" i="4" s="1"/>
  <c r="GP91" i="4"/>
  <c r="GP96" i="4"/>
  <c r="GQ97" i="4" s="1"/>
  <c r="GP97" i="4"/>
  <c r="AW4" i="6"/>
  <c r="AV5" i="6" s="1"/>
  <c r="AX4" i="6"/>
  <c r="AY4" i="6" s="1"/>
  <c r="AZ4" i="6" s="1"/>
  <c r="GN163" i="4"/>
  <c r="GO164" i="4" s="1"/>
  <c r="GN164" i="4"/>
  <c r="FK7" i="6"/>
  <c r="BQ65" i="6"/>
  <c r="BP4" i="6"/>
  <c r="BQ66" i="6"/>
  <c r="BP66" i="6"/>
  <c r="FT10" i="6" s="1"/>
  <c r="FL7" i="6"/>
  <c r="BP65" i="6"/>
  <c r="IS181" i="4"/>
  <c r="IS180" i="4"/>
  <c r="HY164" i="4"/>
  <c r="HY163" i="4"/>
  <c r="IP192" i="4"/>
  <c r="IQ193" i="4" s="1"/>
  <c r="IP193" i="4"/>
  <c r="IS91" i="4"/>
  <c r="IS90" i="4"/>
  <c r="HB94" i="4"/>
  <c r="HB93" i="4"/>
  <c r="HC94" i="4" s="1"/>
  <c r="GR164" i="4"/>
  <c r="GR163" i="4"/>
  <c r="GS164" i="4" s="1"/>
  <c r="FF96" i="4"/>
  <c r="FG97" i="4" s="1"/>
  <c r="FF97" i="4"/>
  <c r="HB163" i="4"/>
  <c r="HC164" i="4" s="1"/>
  <c r="HB164" i="4"/>
  <c r="GN97" i="4"/>
  <c r="GN96" i="4"/>
  <c r="GO97" i="4" s="1"/>
  <c r="GN91" i="4"/>
  <c r="GN90" i="4"/>
  <c r="GO91" i="4" s="1"/>
  <c r="HD161" i="4"/>
  <c r="HD160" i="4"/>
  <c r="HE161" i="4" s="1"/>
  <c r="GN160" i="4"/>
  <c r="GO161" i="4" s="1"/>
  <c r="GN161" i="4"/>
  <c r="HD90" i="4"/>
  <c r="HE91" i="4" s="1"/>
  <c r="HD91" i="4"/>
  <c r="HD97" i="4"/>
  <c r="HD96" i="4"/>
  <c r="HE97" i="4" s="1"/>
  <c r="IP79" i="4"/>
  <c r="IP78" i="4"/>
  <c r="IQ79" i="4" s="1"/>
  <c r="HY88" i="4"/>
  <c r="HY87" i="4"/>
  <c r="IS155" i="4"/>
  <c r="IS154" i="4"/>
  <c r="IS161" i="4"/>
  <c r="IS160" i="4"/>
  <c r="HM153" i="4"/>
  <c r="HM83" i="4"/>
  <c r="IJ96" i="4"/>
  <c r="IK97" i="4" s="1"/>
  <c r="IJ97" i="4"/>
  <c r="IJ167" i="4"/>
  <c r="IJ166" i="4"/>
  <c r="IK167" i="4" s="1"/>
  <c r="ER79" i="4"/>
  <c r="ER78" i="4"/>
  <c r="ES79" i="4" s="1"/>
  <c r="EQ95" i="4"/>
  <c r="ER149" i="4"/>
  <c r="ER148" i="4"/>
  <c r="ES149" i="4" s="1"/>
  <c r="EQ165" i="4"/>
  <c r="DF27" i="4"/>
  <c r="ED63" i="4" s="1"/>
  <c r="DE9" i="4"/>
  <c r="DF9" i="4"/>
  <c r="HM15" i="4"/>
  <c r="HM14" i="4"/>
  <c r="HN15" i="4" s="1"/>
  <c r="GE41" i="4"/>
  <c r="GF42" i="4" s="1"/>
  <c r="GE42" i="4"/>
  <c r="CF27" i="4"/>
  <c r="FZ40" i="4"/>
  <c r="ER8" i="4"/>
  <c r="ES9" i="4" s="1"/>
  <c r="ER9" i="4"/>
  <c r="FF26" i="4"/>
  <c r="FG27" i="4" s="1"/>
  <c r="FF27" i="4"/>
  <c r="AX4" i="4"/>
  <c r="AY4" i="4" s="1"/>
  <c r="AZ4" i="4" s="1"/>
  <c r="AW4" i="4"/>
  <c r="AV5" i="4" s="1"/>
  <c r="DJ33" i="4" l="1"/>
  <c r="DL36" i="4"/>
  <c r="DX54" i="4"/>
  <c r="BY9" i="6"/>
  <c r="CA9" i="6" s="1"/>
  <c r="EB60" i="4"/>
  <c r="DP42" i="4"/>
  <c r="BP52" i="6"/>
  <c r="BP53" i="6" s="1"/>
  <c r="BP55" i="6"/>
  <c r="BP61" i="6"/>
  <c r="BP62" i="6" s="1"/>
  <c r="FT11" i="6"/>
  <c r="FT12" i="6"/>
  <c r="CK12" i="6" s="1"/>
  <c r="FK9" i="6"/>
  <c r="FK8" i="6"/>
  <c r="AW5" i="6"/>
  <c r="AV6" i="6" s="1"/>
  <c r="AX5" i="6"/>
  <c r="AY5" i="6" s="1"/>
  <c r="AZ5" i="6" s="1"/>
  <c r="C28" i="6"/>
  <c r="BF3" i="6"/>
  <c r="BF23" i="6" s="1"/>
  <c r="FK11" i="6"/>
  <c r="FK12" i="6"/>
  <c r="CO27" i="6"/>
  <c r="CO26" i="6"/>
  <c r="CP27" i="6" s="1"/>
  <c r="FT7" i="6"/>
  <c r="BP11" i="6"/>
  <c r="BP5" i="6"/>
  <c r="BP6" i="6" s="1"/>
  <c r="BP7" i="6" s="1"/>
  <c r="DS34" i="6" s="1"/>
  <c r="BZ27" i="6"/>
  <c r="CD42" i="6"/>
  <c r="EN16" i="6"/>
  <c r="CO19" i="6"/>
  <c r="BJ51" i="6"/>
  <c r="BK51" i="6" s="1"/>
  <c r="CU16" i="6"/>
  <c r="EJ16" i="6"/>
  <c r="BJ55" i="6"/>
  <c r="EH16" i="6"/>
  <c r="CO13" i="6"/>
  <c r="BJ54" i="6"/>
  <c r="BK54" i="6" s="1"/>
  <c r="BL54" i="6" s="1"/>
  <c r="FY19" i="6"/>
  <c r="BJ56" i="6"/>
  <c r="BJ52" i="6"/>
  <c r="CG15" i="6"/>
  <c r="BZ9" i="6"/>
  <c r="DX42" i="6"/>
  <c r="DX41" i="6"/>
  <c r="DY42" i="6" s="1"/>
  <c r="EQ167" i="4"/>
  <c r="EQ166" i="4"/>
  <c r="ER167" i="4" s="1"/>
  <c r="HM84" i="4"/>
  <c r="HN85" i="4" s="1"/>
  <c r="HM85" i="4"/>
  <c r="EQ96" i="4"/>
  <c r="ER97" i="4" s="1"/>
  <c r="EQ97" i="4"/>
  <c r="HM154" i="4"/>
  <c r="HN155" i="4" s="1"/>
  <c r="HM155" i="4"/>
  <c r="DN39" i="4"/>
  <c r="EF66" i="4"/>
  <c r="DZ57" i="4"/>
  <c r="DH30" i="4"/>
  <c r="DV51" i="4"/>
  <c r="DR45" i="4"/>
  <c r="DT48" i="4"/>
  <c r="BZ27" i="4"/>
  <c r="EJ33" i="4" s="1"/>
  <c r="EQ27" i="4"/>
  <c r="EQ26" i="4"/>
  <c r="ER27" i="4" s="1"/>
  <c r="CD42" i="4"/>
  <c r="EI15" i="4"/>
  <c r="EF9" i="4"/>
  <c r="EB9" i="4"/>
  <c r="DX9" i="4"/>
  <c r="DT9" i="4"/>
  <c r="DP9" i="4"/>
  <c r="DL9" i="4"/>
  <c r="ED9" i="4"/>
  <c r="DZ9" i="4"/>
  <c r="DV9" i="4"/>
  <c r="DR9" i="4"/>
  <c r="DN9" i="4"/>
  <c r="DJ9" i="4"/>
  <c r="DH9" i="4"/>
  <c r="FZ41" i="4"/>
  <c r="GA42" i="4" s="1"/>
  <c r="FZ42" i="4"/>
  <c r="CB36" i="4"/>
  <c r="BY9" i="4"/>
  <c r="DD63" i="4"/>
  <c r="CT48" i="4"/>
  <c r="CH30" i="4"/>
  <c r="CP42" i="4"/>
  <c r="CN39" i="4"/>
  <c r="CV51" i="4"/>
  <c r="CJ33" i="4"/>
  <c r="CZ57" i="4"/>
  <c r="CR45" i="4"/>
  <c r="DB60" i="4"/>
  <c r="CX54" i="4"/>
  <c r="CL36" i="4"/>
  <c r="EE9" i="4"/>
  <c r="EA9" i="4"/>
  <c r="DW9" i="4"/>
  <c r="DS9" i="4"/>
  <c r="DO9" i="4"/>
  <c r="DK9" i="4"/>
  <c r="EC9" i="4"/>
  <c r="DY9" i="4"/>
  <c r="DU9" i="4"/>
  <c r="DQ9" i="4"/>
  <c r="DM9" i="4"/>
  <c r="DI9" i="4"/>
  <c r="DG9" i="4"/>
  <c r="AX5" i="4"/>
  <c r="AY5" i="4" s="1"/>
  <c r="AZ5" i="4" s="1"/>
  <c r="AW5" i="4"/>
  <c r="AV6" i="4" s="1"/>
  <c r="CE9" i="6" l="1"/>
  <c r="BP64" i="6"/>
  <c r="CC9" i="6"/>
  <c r="DJ21" i="6"/>
  <c r="DJ15" i="6"/>
  <c r="BL51" i="6"/>
  <c r="FY24" i="6"/>
  <c r="FY18" i="6"/>
  <c r="FY20" i="6"/>
  <c r="FZ21" i="6" s="1"/>
  <c r="FY21" i="6"/>
  <c r="CP21" i="6"/>
  <c r="CO21" i="6"/>
  <c r="CO20" i="6"/>
  <c r="DS35" i="6"/>
  <c r="DT36" i="6" s="1"/>
  <c r="DS36" i="6"/>
  <c r="CR22" i="6"/>
  <c r="CQ12" i="6"/>
  <c r="DF12" i="6"/>
  <c r="FM18" i="6"/>
  <c r="CQ13" i="6"/>
  <c r="CQ19" i="6"/>
  <c r="DF13" i="6"/>
  <c r="DG22" i="6"/>
  <c r="DF19" i="6"/>
  <c r="CC42" i="6"/>
  <c r="CD72" i="6" s="1"/>
  <c r="EJ17" i="6"/>
  <c r="EJ19" i="6"/>
  <c r="EK18" i="6"/>
  <c r="EH19" i="6"/>
  <c r="EJ18" i="6"/>
  <c r="EN18" i="6"/>
  <c r="EN17" i="6"/>
  <c r="EO18" i="6" s="1"/>
  <c r="BP12" i="6"/>
  <c r="BP13" i="6" s="1"/>
  <c r="BP14" i="6" s="1"/>
  <c r="BY27" i="6"/>
  <c r="AX6" i="6"/>
  <c r="AY6" i="6" s="1"/>
  <c r="AZ6" i="6" s="1"/>
  <c r="AW6" i="6"/>
  <c r="AV7" i="6" s="1"/>
  <c r="BK52" i="6"/>
  <c r="BL52" i="6" s="1"/>
  <c r="BK56" i="6"/>
  <c r="BL56" i="6" s="1"/>
  <c r="BG52" i="6"/>
  <c r="EN30" i="6" s="1"/>
  <c r="CO14" i="6"/>
  <c r="CP15" i="6" s="1"/>
  <c r="CO15" i="6"/>
  <c r="CU18" i="6"/>
  <c r="CU17" i="6"/>
  <c r="CV18" i="6" s="1"/>
  <c r="BF26" i="6"/>
  <c r="BF24" i="6"/>
  <c r="BK55" i="6"/>
  <c r="BL55" i="6" s="1"/>
  <c r="CF9" i="6"/>
  <c r="CD9" i="6"/>
  <c r="CB9" i="6"/>
  <c r="CI15" i="6"/>
  <c r="CJ15" i="6" s="1"/>
  <c r="CH15" i="6"/>
  <c r="EH18" i="6"/>
  <c r="EH17" i="6"/>
  <c r="EI18" i="6" s="1"/>
  <c r="DD13" i="6"/>
  <c r="EX16" i="6"/>
  <c r="DD19" i="6"/>
  <c r="EV16" i="6"/>
  <c r="DJ16" i="6"/>
  <c r="FB16" i="6"/>
  <c r="CB36" i="6"/>
  <c r="CF36" i="6"/>
  <c r="CJ42" i="6" s="1"/>
  <c r="CH33" i="6"/>
  <c r="FS28" i="6"/>
  <c r="FT9" i="6"/>
  <c r="FT8" i="6"/>
  <c r="FX6" i="6"/>
  <c r="CK6" i="6" s="1"/>
  <c r="CT6" i="6"/>
  <c r="BY6" i="6" s="1"/>
  <c r="FV9" i="6"/>
  <c r="BI69" i="6" s="1"/>
  <c r="CG9" i="6"/>
  <c r="CH9" i="6" s="1"/>
  <c r="CI9" i="6"/>
  <c r="CJ9" i="6" s="1"/>
  <c r="FT25" i="6"/>
  <c r="FT27" i="6"/>
  <c r="FT15" i="6"/>
  <c r="CU21" i="6"/>
  <c r="CU15" i="6"/>
  <c r="BG51" i="6"/>
  <c r="FB30" i="6" s="1"/>
  <c r="EH36" i="4"/>
  <c r="EL42" i="4" s="1"/>
  <c r="BY27" i="4"/>
  <c r="BZ45" i="4" s="1"/>
  <c r="EJ51" i="4" s="1"/>
  <c r="CC42" i="4"/>
  <c r="CD72" i="4" s="1"/>
  <c r="CC9" i="4"/>
  <c r="CE9" i="4"/>
  <c r="CG9" i="4" s="1"/>
  <c r="CA9" i="4"/>
  <c r="EG9" i="4"/>
  <c r="BZ9" i="4"/>
  <c r="EK15" i="4"/>
  <c r="EL15" i="4" s="1"/>
  <c r="EJ15" i="4"/>
  <c r="AW6" i="4"/>
  <c r="AV7" i="4" s="1"/>
  <c r="BE12" i="4" s="1"/>
  <c r="AX6" i="4"/>
  <c r="AY6" i="4" s="1"/>
  <c r="AZ6" i="4" s="1"/>
  <c r="FS22" i="6" l="1"/>
  <c r="FS16" i="6"/>
  <c r="CK9" i="6"/>
  <c r="CA36" i="6"/>
  <c r="CB54" i="6" s="1"/>
  <c r="FB17" i="6"/>
  <c r="FC18" i="6" s="1"/>
  <c r="FB18" i="6"/>
  <c r="EV19" i="6"/>
  <c r="EX18" i="6"/>
  <c r="EX19" i="6"/>
  <c r="AW7" i="6"/>
  <c r="AV8" i="6" s="1"/>
  <c r="AX7" i="6"/>
  <c r="AY7" i="6" s="1"/>
  <c r="AZ7" i="6" s="1"/>
  <c r="EH22" i="6"/>
  <c r="EH21" i="6"/>
  <c r="EH20" i="6"/>
  <c r="EI21" i="6" s="1"/>
  <c r="EJ22" i="6"/>
  <c r="DG24" i="6"/>
  <c r="DG23" i="6"/>
  <c r="DH24" i="6"/>
  <c r="FT26" i="6"/>
  <c r="FU27" i="6" s="1"/>
  <c r="CK27" i="6" s="1"/>
  <c r="DF14" i="6"/>
  <c r="DG15" i="6" s="1"/>
  <c r="DF15" i="6"/>
  <c r="EV17" i="6"/>
  <c r="EW18" i="6" s="1"/>
  <c r="EV18" i="6"/>
  <c r="BZ45" i="6"/>
  <c r="CH51" i="6" s="1"/>
  <c r="CE36" i="6"/>
  <c r="CG33" i="6"/>
  <c r="EP19" i="6"/>
  <c r="EJ20" i="6"/>
  <c r="EK21" i="6" s="1"/>
  <c r="EJ21" i="6"/>
  <c r="CR21" i="6"/>
  <c r="EJ28" i="6"/>
  <c r="CQ21" i="6"/>
  <c r="CQ20" i="6"/>
  <c r="CC6" i="6"/>
  <c r="CE6" i="6"/>
  <c r="CI6" i="6" s="1"/>
  <c r="CA6" i="6"/>
  <c r="CG6" i="6" s="1"/>
  <c r="BZ6" i="6"/>
  <c r="DJ17" i="6"/>
  <c r="DK18" i="6" s="1"/>
  <c r="DJ18" i="6"/>
  <c r="DD15" i="6"/>
  <c r="DD14" i="6"/>
  <c r="DE15" i="6" s="1"/>
  <c r="FS29" i="6"/>
  <c r="FT30" i="6" s="1"/>
  <c r="FS30" i="6"/>
  <c r="DD20" i="6"/>
  <c r="DE21" i="6" s="1"/>
  <c r="DD21" i="6"/>
  <c r="BF27" i="6"/>
  <c r="BF28" i="6"/>
  <c r="C26" i="6" s="1"/>
  <c r="BF31" i="6" s="1"/>
  <c r="C29" i="6" s="1"/>
  <c r="BP15" i="6"/>
  <c r="BP16" i="6" s="1"/>
  <c r="BP17" i="6" s="1"/>
  <c r="BP18" i="6" s="1"/>
  <c r="BP19" i="6" s="1"/>
  <c r="BP9" i="6"/>
  <c r="EX28" i="6"/>
  <c r="DF21" i="6"/>
  <c r="DF20" i="6"/>
  <c r="DG21" i="6" s="1"/>
  <c r="CQ15" i="6"/>
  <c r="CQ14" i="6"/>
  <c r="CR15" i="6"/>
  <c r="CR24" i="6"/>
  <c r="CR23" i="6"/>
  <c r="CS24" i="6" s="1"/>
  <c r="EI33" i="4"/>
  <c r="EG36" i="4"/>
  <c r="EH63" i="4" s="1"/>
  <c r="EL69" i="4" s="1"/>
  <c r="CO9" i="4"/>
  <c r="DC9" i="4"/>
  <c r="CM9" i="4"/>
  <c r="CY9" i="4"/>
  <c r="CU9" i="4"/>
  <c r="CI9" i="4"/>
  <c r="CS9" i="4"/>
  <c r="CW9" i="4"/>
  <c r="DA9" i="4"/>
  <c r="CQ9" i="4"/>
  <c r="CK9" i="4"/>
  <c r="EK42" i="4"/>
  <c r="CF9" i="4"/>
  <c r="EH9" i="4"/>
  <c r="CD9" i="4"/>
  <c r="CB9" i="4"/>
  <c r="C22" i="4"/>
  <c r="C24" i="4"/>
  <c r="BE15" i="4" s="1"/>
  <c r="BP42" i="4"/>
  <c r="BP39" i="4"/>
  <c r="BP40" i="4" s="1"/>
  <c r="BP41" i="4" s="1"/>
  <c r="C23" i="4"/>
  <c r="AW7" i="4"/>
  <c r="AV8" i="4" s="1"/>
  <c r="AX7" i="4"/>
  <c r="AY7" i="4" s="1"/>
  <c r="AZ7" i="4" s="1"/>
  <c r="BZ15" i="6" l="1"/>
  <c r="BY24" i="6"/>
  <c r="BZ42" i="6" s="1"/>
  <c r="BY15" i="6"/>
  <c r="BZ33" i="6" s="1"/>
  <c r="FS17" i="6"/>
  <c r="FT18" i="6" s="1"/>
  <c r="FS18" i="6"/>
  <c r="BY21" i="6"/>
  <c r="CG27" i="6" s="1"/>
  <c r="FT24" i="6"/>
  <c r="FS23" i="6"/>
  <c r="FS24" i="6"/>
  <c r="CC15" i="6"/>
  <c r="CA24" i="6"/>
  <c r="CG21" i="6"/>
  <c r="BZ39" i="6"/>
  <c r="CC36" i="6"/>
  <c r="CB24" i="6"/>
  <c r="CD15" i="6"/>
  <c r="CH21" i="6"/>
  <c r="CF15" i="6"/>
  <c r="CJ21" i="6" s="1"/>
  <c r="CK30" i="6"/>
  <c r="CF63" i="6"/>
  <c r="CJ69" i="6" s="1"/>
  <c r="CI42" i="6"/>
  <c r="EJ23" i="6"/>
  <c r="EK24" i="6" s="1"/>
  <c r="EJ25" i="6"/>
  <c r="EH25" i="6"/>
  <c r="EJ24" i="6"/>
  <c r="EX21" i="6"/>
  <c r="EX20" i="6"/>
  <c r="EY21" i="6" s="1"/>
  <c r="FD19" i="6"/>
  <c r="EY30" i="6"/>
  <c r="EX30" i="6"/>
  <c r="EX29" i="6"/>
  <c r="CA33" i="6"/>
  <c r="CC39" i="6"/>
  <c r="CE33" i="6"/>
  <c r="CG30" i="6"/>
  <c r="BZ21" i="6"/>
  <c r="DS43" i="6"/>
  <c r="BR7" i="6"/>
  <c r="BT7" i="6" s="1"/>
  <c r="BT13" i="6" s="1"/>
  <c r="DR12" i="6"/>
  <c r="CA12" i="6" s="1"/>
  <c r="CB12" i="6" s="1"/>
  <c r="C19" i="6"/>
  <c r="CB6" i="6"/>
  <c r="CF6" i="6"/>
  <c r="CJ6" i="6" s="1"/>
  <c r="CD6" i="6"/>
  <c r="CH6" i="6"/>
  <c r="EP21" i="6"/>
  <c r="EP20" i="6"/>
  <c r="EQ21" i="6" s="1"/>
  <c r="AX8" i="6"/>
  <c r="AY8" i="6" s="1"/>
  <c r="AZ8" i="6" s="1"/>
  <c r="AW8" i="6"/>
  <c r="AV9" i="6" s="1"/>
  <c r="EV21" i="6"/>
  <c r="EX22" i="6"/>
  <c r="EV20" i="6"/>
  <c r="EW21" i="6" s="1"/>
  <c r="EV22" i="6"/>
  <c r="BM54" i="6"/>
  <c r="BM52" i="6"/>
  <c r="BM56" i="6"/>
  <c r="BM51" i="6"/>
  <c r="BM55" i="6"/>
  <c r="C30" i="6"/>
  <c r="BI64" i="6"/>
  <c r="BO24" i="6"/>
  <c r="BI63" i="6"/>
  <c r="BI62" i="6"/>
  <c r="BN51" i="6"/>
  <c r="BN56" i="6"/>
  <c r="BN52" i="6"/>
  <c r="BN55" i="6"/>
  <c r="BO25" i="6"/>
  <c r="BN54" i="6"/>
  <c r="EJ29" i="6"/>
  <c r="EK30" i="6" s="1"/>
  <c r="EJ30" i="6"/>
  <c r="BZ24" i="6"/>
  <c r="EH23" i="6"/>
  <c r="EI24" i="6" s="1"/>
  <c r="EN22" i="6"/>
  <c r="EH24" i="6"/>
  <c r="CX9" i="4"/>
  <c r="CH9" i="4"/>
  <c r="CP9" i="4"/>
  <c r="CZ9" i="4"/>
  <c r="CL9" i="4"/>
  <c r="CR9" i="4"/>
  <c r="CV9" i="4"/>
  <c r="DB9" i="4"/>
  <c r="DD9" i="4"/>
  <c r="CN9" i="4"/>
  <c r="CT9" i="4"/>
  <c r="CJ9" i="4"/>
  <c r="BT9" i="4"/>
  <c r="BT8" i="4"/>
  <c r="BT12" i="4"/>
  <c r="BP49" i="4"/>
  <c r="BP50" i="4"/>
  <c r="BP65" i="4"/>
  <c r="C17" i="4" s="1"/>
  <c r="HM7" i="4"/>
  <c r="BP4" i="4"/>
  <c r="BP66" i="4"/>
  <c r="HV10" i="4" s="1"/>
  <c r="BQ65" i="4"/>
  <c r="HN7" i="4"/>
  <c r="BQ66" i="4"/>
  <c r="HM10" i="4"/>
  <c r="BE13" i="4"/>
  <c r="AW8" i="4"/>
  <c r="AV9" i="4" s="1"/>
  <c r="AX8" i="4"/>
  <c r="AY8" i="4" s="1"/>
  <c r="AZ8" i="4" s="1"/>
  <c r="CE21" i="6" l="1"/>
  <c r="CA30" i="6"/>
  <c r="CE15" i="6"/>
  <c r="CI21" i="6" s="1"/>
  <c r="CK24" i="6"/>
  <c r="CK18" i="6"/>
  <c r="EN23" i="6"/>
  <c r="EN24" i="6"/>
  <c r="CE24" i="6" s="1"/>
  <c r="EO24" i="6"/>
  <c r="CI27" i="6"/>
  <c r="CF48" i="6"/>
  <c r="CJ54" i="6" s="1"/>
  <c r="CB48" i="6"/>
  <c r="CH45" i="6"/>
  <c r="CD66" i="6"/>
  <c r="BN53" i="6"/>
  <c r="AW9" i="6"/>
  <c r="AV10" i="6" s="1"/>
  <c r="AX9" i="6"/>
  <c r="AY9" i="6" s="1"/>
  <c r="AZ9" i="6" s="1"/>
  <c r="BT24" i="6"/>
  <c r="BT25" i="6"/>
  <c r="BT20" i="6"/>
  <c r="BT30" i="6"/>
  <c r="BT38" i="6"/>
  <c r="BT21" i="6"/>
  <c r="BT33" i="6"/>
  <c r="BT22" i="6"/>
  <c r="BT35" i="6"/>
  <c r="BT18" i="6"/>
  <c r="BT32" i="6"/>
  <c r="BT37" i="6"/>
  <c r="BT27" i="6"/>
  <c r="BT23" i="6"/>
  <c r="BT19" i="6"/>
  <c r="BT15" i="6"/>
  <c r="BT54" i="6" s="1"/>
  <c r="BT31" i="6"/>
  <c r="BT34" i="6"/>
  <c r="BT16" i="6"/>
  <c r="BT28" i="6"/>
  <c r="BT17" i="6"/>
  <c r="BT29" i="6"/>
  <c r="BT36" i="6"/>
  <c r="BT26" i="6"/>
  <c r="CB51" i="6"/>
  <c r="CD69" i="6"/>
  <c r="CH48" i="6"/>
  <c r="EH26" i="6"/>
  <c r="EI27" i="6" s="1"/>
  <c r="EH28" i="6"/>
  <c r="EH27" i="6"/>
  <c r="CF42" i="6"/>
  <c r="CJ48" i="6" s="1"/>
  <c r="CD39" i="6"/>
  <c r="CH30" i="6"/>
  <c r="CB33" i="6"/>
  <c r="CF33" i="6"/>
  <c r="CJ39" i="6" s="1"/>
  <c r="BI65" i="6"/>
  <c r="BL17" i="6" s="1"/>
  <c r="FM12" i="6"/>
  <c r="CS12" i="6"/>
  <c r="BY12" i="6" s="1"/>
  <c r="FO18" i="6"/>
  <c r="CG18" i="6" s="1"/>
  <c r="ER18" i="6"/>
  <c r="CE18" i="6" s="1"/>
  <c r="FW15" i="6"/>
  <c r="CK15" i="6" s="1"/>
  <c r="CZ18" i="6"/>
  <c r="BY18" i="6" s="1"/>
  <c r="GD21" i="6"/>
  <c r="CK21" i="6" s="1"/>
  <c r="BI67" i="6"/>
  <c r="DS45" i="6"/>
  <c r="DS44" i="6"/>
  <c r="DT45" i="6"/>
  <c r="CI39" i="6"/>
  <c r="CF60" i="6"/>
  <c r="CJ66" i="6" s="1"/>
  <c r="CH39" i="6"/>
  <c r="CB42" i="6"/>
  <c r="CD48" i="6"/>
  <c r="EX23" i="6"/>
  <c r="EX24" i="6"/>
  <c r="EV25" i="6"/>
  <c r="EX25" i="6"/>
  <c r="EY24" i="6"/>
  <c r="CB30" i="6"/>
  <c r="CD36" i="6"/>
  <c r="CH27" i="6"/>
  <c r="EP25" i="6"/>
  <c r="EJ26" i="6"/>
  <c r="EK27" i="6"/>
  <c r="EJ27" i="6"/>
  <c r="BN57" i="6"/>
  <c r="DH12" i="6"/>
  <c r="BZ12" i="6" s="1"/>
  <c r="FF18" i="6"/>
  <c r="CF18" i="6" s="1"/>
  <c r="CJ24" i="6" s="1"/>
  <c r="DO18" i="6"/>
  <c r="BZ18" i="6" s="1"/>
  <c r="FB22" i="6"/>
  <c r="EV23" i="6"/>
  <c r="EW24" i="6" s="1"/>
  <c r="EV24" i="6"/>
  <c r="FD21" i="6"/>
  <c r="FE21" i="6"/>
  <c r="FD20" i="6"/>
  <c r="EQ159" i="4"/>
  <c r="EQ89" i="4"/>
  <c r="EW156" i="4"/>
  <c r="EQ153" i="4"/>
  <c r="EW86" i="4"/>
  <c r="EQ83" i="4"/>
  <c r="HN147" i="4"/>
  <c r="HN77" i="4"/>
  <c r="HM77" i="4"/>
  <c r="HM147" i="4"/>
  <c r="HM80" i="4"/>
  <c r="HM150" i="4"/>
  <c r="HV80" i="4"/>
  <c r="HV150" i="4"/>
  <c r="HV12" i="4"/>
  <c r="HV11" i="4"/>
  <c r="HW12" i="4" s="1"/>
  <c r="BP11" i="4"/>
  <c r="BP5" i="4"/>
  <c r="BP6" i="4" s="1"/>
  <c r="BP7" i="4" s="1"/>
  <c r="FU34" i="4" s="1"/>
  <c r="BP61" i="4"/>
  <c r="BP64" i="4" s="1"/>
  <c r="BP55" i="4"/>
  <c r="BP52" i="4"/>
  <c r="C28" i="4"/>
  <c r="BF3" i="4"/>
  <c r="BF23" i="4" s="1"/>
  <c r="HM12" i="4"/>
  <c r="HM11" i="4"/>
  <c r="AW9" i="4"/>
  <c r="AV10" i="4" s="1"/>
  <c r="AX9" i="4"/>
  <c r="AY9" i="4" s="1"/>
  <c r="AZ9" i="4" s="1"/>
  <c r="HM8" i="4"/>
  <c r="HN9" i="4" s="1"/>
  <c r="HM9" i="4"/>
  <c r="GL16" i="4"/>
  <c r="EQ13" i="4"/>
  <c r="GP16" i="4"/>
  <c r="BJ56" i="4"/>
  <c r="BK56" i="4" s="1"/>
  <c r="BL56" i="4" s="1"/>
  <c r="EQ19" i="4"/>
  <c r="IU16" i="4"/>
  <c r="BJ51" i="4"/>
  <c r="IO19" i="4"/>
  <c r="IO13" i="4"/>
  <c r="IA19" i="4"/>
  <c r="BJ55" i="4"/>
  <c r="BK55" i="4" s="1"/>
  <c r="BL55" i="4" s="1"/>
  <c r="BJ52" i="4"/>
  <c r="BK52" i="4" s="1"/>
  <c r="BL52" i="4" s="1"/>
  <c r="BJ54" i="4"/>
  <c r="GJ16" i="4"/>
  <c r="EW16" i="4"/>
  <c r="HV7" i="4"/>
  <c r="CF21" i="6" l="1"/>
  <c r="CJ27" i="6" s="1"/>
  <c r="BW81" i="6"/>
  <c r="G29" i="6" s="1"/>
  <c r="BW33" i="6"/>
  <c r="G13" i="6" s="1"/>
  <c r="BW36" i="6"/>
  <c r="G14" i="6" s="1"/>
  <c r="BW135" i="6"/>
  <c r="G47" i="6" s="1"/>
  <c r="BW93" i="6"/>
  <c r="G33" i="6" s="1"/>
  <c r="BW27" i="6"/>
  <c r="G11" i="6" s="1"/>
  <c r="BW138" i="6"/>
  <c r="G48" i="6" s="1"/>
  <c r="BW60" i="6"/>
  <c r="G22" i="6" s="1"/>
  <c r="BW123" i="6"/>
  <c r="G43" i="6" s="1"/>
  <c r="BW9" i="6"/>
  <c r="G5" i="6" s="1"/>
  <c r="BW51" i="6"/>
  <c r="G19" i="6" s="1"/>
  <c r="BW90" i="6"/>
  <c r="G32" i="6" s="1"/>
  <c r="BW63" i="6"/>
  <c r="G23" i="6" s="1"/>
  <c r="BW39" i="6"/>
  <c r="G15" i="6" s="1"/>
  <c r="BW132" i="6"/>
  <c r="G46" i="6" s="1"/>
  <c r="BW57" i="6"/>
  <c r="G21" i="6" s="1"/>
  <c r="BW114" i="6"/>
  <c r="G40" i="6" s="1"/>
  <c r="BW144" i="6"/>
  <c r="G50" i="6" s="1"/>
  <c r="BW126" i="6"/>
  <c r="G44" i="6" s="1"/>
  <c r="BW102" i="6"/>
  <c r="G36" i="6" s="1"/>
  <c r="BW96" i="6"/>
  <c r="G34" i="6" s="1"/>
  <c r="BW54" i="6"/>
  <c r="G20" i="6" s="1"/>
  <c r="BW78" i="6"/>
  <c r="G28" i="6" s="1"/>
  <c r="BW45" i="6"/>
  <c r="G17" i="6" s="1"/>
  <c r="BW75" i="6"/>
  <c r="G27" i="6" s="1"/>
  <c r="BW6" i="6"/>
  <c r="G4" i="6" s="1"/>
  <c r="BW120" i="6"/>
  <c r="G42" i="6" s="1"/>
  <c r="BW3" i="6"/>
  <c r="G3" i="6" s="1"/>
  <c r="BW66" i="6"/>
  <c r="G24" i="6" s="1"/>
  <c r="BW117" i="6"/>
  <c r="G41" i="6" s="1"/>
  <c r="BW21" i="6"/>
  <c r="G9" i="6" s="1"/>
  <c r="BW129" i="6"/>
  <c r="G45" i="6" s="1"/>
  <c r="BW147" i="6"/>
  <c r="G51" i="6" s="1"/>
  <c r="BW99" i="6"/>
  <c r="G35" i="6" s="1"/>
  <c r="BW87" i="6"/>
  <c r="G31" i="6" s="1"/>
  <c r="BW18" i="6"/>
  <c r="G8" i="6" s="1"/>
  <c r="BW69" i="6"/>
  <c r="G25" i="6" s="1"/>
  <c r="BW141" i="6"/>
  <c r="G49" i="6" s="1"/>
  <c r="BW111" i="6"/>
  <c r="G39" i="6" s="1"/>
  <c r="BW15" i="6"/>
  <c r="G7" i="6" s="1"/>
  <c r="BW84" i="6"/>
  <c r="G30" i="6" s="1"/>
  <c r="BW108" i="6"/>
  <c r="G38" i="6" s="1"/>
  <c r="BW72" i="6"/>
  <c r="G26" i="6" s="1"/>
  <c r="BW42" i="6"/>
  <c r="G16" i="6" s="1"/>
  <c r="BW30" i="6"/>
  <c r="G12" i="6" s="1"/>
  <c r="BW48" i="6"/>
  <c r="G18" i="6" s="1"/>
  <c r="BW12" i="6"/>
  <c r="G6" i="6" s="1"/>
  <c r="BW24" i="6"/>
  <c r="G10" i="6" s="1"/>
  <c r="BW105" i="6"/>
  <c r="G37" i="6" s="1"/>
  <c r="EV26" i="6"/>
  <c r="EW27" i="6" s="1"/>
  <c r="EV28" i="6"/>
  <c r="EV27" i="6"/>
  <c r="EP26" i="6"/>
  <c r="EQ27" i="6" s="1"/>
  <c r="EP27" i="6"/>
  <c r="CE27" i="6" s="1"/>
  <c r="CA45" i="6"/>
  <c r="CB63" i="6" s="1"/>
  <c r="CI12" i="6"/>
  <c r="CJ12" i="6" s="1"/>
  <c r="CG12" i="6"/>
  <c r="CH12" i="6" s="1"/>
  <c r="CB27" i="6"/>
  <c r="CD27" i="6"/>
  <c r="CH24" i="6"/>
  <c r="EX27" i="6"/>
  <c r="EX26" i="6"/>
  <c r="EY27" i="6" s="1"/>
  <c r="FD25" i="6"/>
  <c r="CI24" i="6"/>
  <c r="CF45" i="6"/>
  <c r="CJ51" i="6" s="1"/>
  <c r="BL19" i="6"/>
  <c r="BL18" i="6"/>
  <c r="BL21" i="6" s="1"/>
  <c r="BL23" i="6" s="1"/>
  <c r="CI18" i="6"/>
  <c r="CJ18" i="6" s="1"/>
  <c r="CH18" i="6"/>
  <c r="CF51" i="6"/>
  <c r="CJ57" i="6" s="1"/>
  <c r="CI30" i="6"/>
  <c r="EH29" i="6"/>
  <c r="EI30" i="6" s="1"/>
  <c r="EH30" i="6"/>
  <c r="AW10" i="6"/>
  <c r="AV11" i="6" s="1"/>
  <c r="AX10" i="6"/>
  <c r="AY10" i="6" s="1"/>
  <c r="AZ10" i="6" s="1"/>
  <c r="FB23" i="6"/>
  <c r="FC24" i="6" s="1"/>
  <c r="FB24" i="6"/>
  <c r="CD12" i="6"/>
  <c r="CB21" i="6"/>
  <c r="CF12" i="6"/>
  <c r="CC27" i="6"/>
  <c r="BZ36" i="6"/>
  <c r="CG24" i="6"/>
  <c r="CA27" i="6"/>
  <c r="CC12" i="6"/>
  <c r="BZ30" i="6"/>
  <c r="CA21" i="6"/>
  <c r="CE12" i="6"/>
  <c r="CF39" i="6" s="1"/>
  <c r="CJ45" i="6" s="1"/>
  <c r="GJ156" i="4"/>
  <c r="GJ86" i="4"/>
  <c r="IU86" i="4"/>
  <c r="IU156" i="4"/>
  <c r="IO153" i="4"/>
  <c r="IO83" i="4"/>
  <c r="GL86" i="4"/>
  <c r="GL156" i="4"/>
  <c r="EU76" i="4"/>
  <c r="EV6" i="4"/>
  <c r="BY6" i="4" s="1"/>
  <c r="EU146" i="4"/>
  <c r="HM81" i="4"/>
  <c r="HM82" i="4"/>
  <c r="EQ155" i="4"/>
  <c r="EQ154" i="4"/>
  <c r="ER155" i="4" s="1"/>
  <c r="EW155" i="4"/>
  <c r="EW85" i="4"/>
  <c r="EW91" i="4"/>
  <c r="EW161" i="4"/>
  <c r="HV152" i="4"/>
  <c r="HV151" i="4"/>
  <c r="HW152" i="4" s="1"/>
  <c r="EW158" i="4"/>
  <c r="EW157" i="4"/>
  <c r="EX158" i="4" s="1"/>
  <c r="FF89" i="4"/>
  <c r="FF159" i="4"/>
  <c r="FL86" i="4"/>
  <c r="FL156" i="4"/>
  <c r="FF153" i="4"/>
  <c r="FF83" i="4"/>
  <c r="GP156" i="4"/>
  <c r="GP86" i="4"/>
  <c r="FH159" i="4"/>
  <c r="FI92" i="4"/>
  <c r="ET92" i="4"/>
  <c r="ES89" i="4"/>
  <c r="ES82" i="4"/>
  <c r="ES159" i="4"/>
  <c r="ES152" i="4"/>
  <c r="FI162" i="4"/>
  <c r="FH153" i="4"/>
  <c r="FH83" i="4"/>
  <c r="ET162" i="4"/>
  <c r="ES153" i="4"/>
  <c r="ES12" i="4"/>
  <c r="FH89" i="4"/>
  <c r="ES83" i="4"/>
  <c r="FH152" i="4"/>
  <c r="FH82" i="4"/>
  <c r="HV81" i="4"/>
  <c r="HW82" i="4" s="1"/>
  <c r="HV82" i="4"/>
  <c r="HM148" i="4"/>
  <c r="HN149" i="4" s="1"/>
  <c r="HM149" i="4"/>
  <c r="EQ85" i="4"/>
  <c r="EQ84" i="4"/>
  <c r="ER85" i="4" s="1"/>
  <c r="EQ91" i="4"/>
  <c r="EQ90" i="4"/>
  <c r="ER91" i="4" s="1"/>
  <c r="HV147" i="4"/>
  <c r="HV77" i="4"/>
  <c r="IO89" i="4"/>
  <c r="IO159" i="4"/>
  <c r="IA159" i="4"/>
  <c r="IA89" i="4"/>
  <c r="EM12" i="4"/>
  <c r="HM151" i="4"/>
  <c r="HM152" i="4"/>
  <c r="HM78" i="4"/>
  <c r="HN79" i="4" s="1"/>
  <c r="HM79" i="4"/>
  <c r="EW87" i="4"/>
  <c r="EX88" i="4" s="1"/>
  <c r="EW88" i="4"/>
  <c r="EQ161" i="4"/>
  <c r="EQ160" i="4"/>
  <c r="ER161" i="4" s="1"/>
  <c r="BP12" i="4"/>
  <c r="BP13" i="4" s="1"/>
  <c r="BP14" i="4" s="1"/>
  <c r="BP15" i="4" s="1"/>
  <c r="BP16" i="4" s="1"/>
  <c r="BP17" i="4" s="1"/>
  <c r="BP18" i="4" s="1"/>
  <c r="BP19" i="4" s="1"/>
  <c r="BP62" i="4"/>
  <c r="IA18" i="4" s="1"/>
  <c r="HV15" i="4"/>
  <c r="HV25" i="4"/>
  <c r="HU16" i="4"/>
  <c r="HU22" i="4"/>
  <c r="GL17" i="4"/>
  <c r="GM18" i="4" s="1"/>
  <c r="GJ19" i="4"/>
  <c r="GL19" i="4"/>
  <c r="GL18" i="4"/>
  <c r="EW21" i="4"/>
  <c r="EW15" i="4"/>
  <c r="IU15" i="4"/>
  <c r="IU21" i="4"/>
  <c r="GJ18" i="4"/>
  <c r="GJ17" i="4"/>
  <c r="GK18" i="4" s="1"/>
  <c r="IO21" i="4"/>
  <c r="IO20" i="4"/>
  <c r="IP21" i="4" s="1"/>
  <c r="EI9" i="4"/>
  <c r="EJ9" i="4" s="1"/>
  <c r="EK9" i="4"/>
  <c r="EL9" i="4" s="1"/>
  <c r="BP53" i="4"/>
  <c r="IR48" i="4"/>
  <c r="FI22" i="4"/>
  <c r="HO18" i="4"/>
  <c r="IQ45" i="4"/>
  <c r="IR22" i="4"/>
  <c r="ES19" i="4"/>
  <c r="ES13" i="4"/>
  <c r="IQ19" i="4"/>
  <c r="FH12" i="4"/>
  <c r="FH13" i="4"/>
  <c r="IR38" i="4"/>
  <c r="IR12" i="4"/>
  <c r="FH19" i="4"/>
  <c r="IQ39" i="4"/>
  <c r="IQ13" i="4"/>
  <c r="ET22" i="4"/>
  <c r="BG52" i="4"/>
  <c r="EW17" i="4"/>
  <c r="EX18" i="4" s="1"/>
  <c r="EW18" i="4"/>
  <c r="EQ21" i="4"/>
  <c r="EQ20" i="4"/>
  <c r="ER21" i="4" s="1"/>
  <c r="HU28" i="4"/>
  <c r="HV9" i="4"/>
  <c r="HV8" i="4"/>
  <c r="IA20" i="4"/>
  <c r="IB21" i="4" s="1"/>
  <c r="IA21" i="4"/>
  <c r="IO45" i="4"/>
  <c r="FL16" i="4"/>
  <c r="FF19" i="4"/>
  <c r="IU42" i="4"/>
  <c r="FF13" i="4"/>
  <c r="IO39" i="4"/>
  <c r="GZ16" i="4"/>
  <c r="HD16" i="4"/>
  <c r="GX16" i="4"/>
  <c r="GP17" i="4"/>
  <c r="GQ18" i="4" s="1"/>
  <c r="GP18" i="4"/>
  <c r="IO15" i="4"/>
  <c r="IO14" i="4"/>
  <c r="IP15" i="4" s="1"/>
  <c r="IU18" i="4"/>
  <c r="IU17" i="4"/>
  <c r="IV18" i="4" s="1"/>
  <c r="EQ15" i="4"/>
  <c r="EQ14" i="4"/>
  <c r="ER15" i="4" s="1"/>
  <c r="BF24" i="4"/>
  <c r="BF26" i="4" s="1"/>
  <c r="BK54" i="4"/>
  <c r="BL54" i="4" s="1"/>
  <c r="BG51" i="4"/>
  <c r="BK51" i="4"/>
  <c r="FU36" i="4"/>
  <c r="FU35" i="4"/>
  <c r="FV36" i="4" s="1"/>
  <c r="AX10" i="4"/>
  <c r="AY10" i="4" s="1"/>
  <c r="AZ10" i="4" s="1"/>
  <c r="AW10" i="4"/>
  <c r="AV11" i="4" s="1"/>
  <c r="HX9" i="4"/>
  <c r="HZ6" i="4"/>
  <c r="IT6" i="4"/>
  <c r="CF24" i="6" l="1"/>
  <c r="CJ30" i="6" s="1"/>
  <c r="BL24" i="6"/>
  <c r="BL25" i="6" s="1"/>
  <c r="BL29" i="6"/>
  <c r="C31" i="6" s="1"/>
  <c r="CE30" i="6"/>
  <c r="FD26" i="6"/>
  <c r="FE27" i="6" s="1"/>
  <c r="FD27" i="6"/>
  <c r="CF27" i="6" s="1"/>
  <c r="CJ33" i="6" s="1"/>
  <c r="EV30" i="6"/>
  <c r="EV29" i="6"/>
  <c r="EW30" i="6" s="1"/>
  <c r="CD45" i="6"/>
  <c r="CH36" i="6"/>
  <c r="CB39" i="6"/>
  <c r="CB45" i="6"/>
  <c r="CH42" i="6"/>
  <c r="CD57" i="6"/>
  <c r="AW11" i="6"/>
  <c r="AV12" i="6" s="1"/>
  <c r="AX11" i="6"/>
  <c r="AY11" i="6" s="1"/>
  <c r="AZ11" i="6" s="1"/>
  <c r="CI33" i="6"/>
  <c r="CF54" i="6"/>
  <c r="CJ60" i="6" s="1"/>
  <c r="FL155" i="4"/>
  <c r="FL85" i="4"/>
  <c r="FL91" i="4"/>
  <c r="FL161" i="4"/>
  <c r="GX156" i="4"/>
  <c r="GX86" i="4"/>
  <c r="IR108" i="4"/>
  <c r="IR178" i="4"/>
  <c r="HV95" i="4"/>
  <c r="HV27" i="4"/>
  <c r="HV165" i="4"/>
  <c r="ES85" i="4"/>
  <c r="ES84" i="4"/>
  <c r="ET85" i="4" s="1"/>
  <c r="ET94" i="4"/>
  <c r="ET93" i="4"/>
  <c r="EU94" i="4" s="1"/>
  <c r="GL88" i="4"/>
  <c r="GJ89" i="4"/>
  <c r="GL87" i="4"/>
  <c r="GM88" i="4" s="1"/>
  <c r="GL89" i="4"/>
  <c r="BI69" i="4"/>
  <c r="HX79" i="4"/>
  <c r="HX149" i="4"/>
  <c r="IO109" i="4"/>
  <c r="IO179" i="4"/>
  <c r="IR152" i="4"/>
  <c r="IR82" i="4"/>
  <c r="IQ159" i="4"/>
  <c r="IQ89" i="4"/>
  <c r="IQ185" i="4"/>
  <c r="IQ115" i="4"/>
  <c r="IU155" i="4"/>
  <c r="IU85" i="4"/>
  <c r="HU86" i="4"/>
  <c r="HU156" i="4"/>
  <c r="IA160" i="4"/>
  <c r="IB161" i="4" s="1"/>
  <c r="IA161" i="4"/>
  <c r="HV149" i="4"/>
  <c r="HV148" i="4"/>
  <c r="HU168" i="4"/>
  <c r="ES155" i="4"/>
  <c r="ES154" i="4"/>
  <c r="ET155" i="4" s="1"/>
  <c r="FI163" i="4"/>
  <c r="FJ164" i="4" s="1"/>
  <c r="FI164" i="4"/>
  <c r="ES91" i="4"/>
  <c r="GL98" i="4"/>
  <c r="ES90" i="4"/>
  <c r="ET91" i="4" s="1"/>
  <c r="GP88" i="4"/>
  <c r="GP87" i="4"/>
  <c r="GQ88" i="4" s="1"/>
  <c r="FL158" i="4"/>
  <c r="FL157" i="4"/>
  <c r="FM158" i="4" s="1"/>
  <c r="GL159" i="4"/>
  <c r="GL157" i="4"/>
  <c r="GM158" i="4" s="1"/>
  <c r="GL158" i="4"/>
  <c r="GJ159" i="4"/>
  <c r="IU158" i="4"/>
  <c r="IU157" i="4"/>
  <c r="IV158" i="4" s="1"/>
  <c r="IT76" i="4"/>
  <c r="IT146" i="4"/>
  <c r="IO185" i="4"/>
  <c r="IO115" i="4"/>
  <c r="IQ153" i="4"/>
  <c r="IQ83" i="4"/>
  <c r="HO158" i="4"/>
  <c r="HO88" i="4"/>
  <c r="GP158" i="4"/>
  <c r="GP157" i="4"/>
  <c r="GQ158" i="4" s="1"/>
  <c r="HD30" i="4"/>
  <c r="HD170" i="4"/>
  <c r="HD100" i="4"/>
  <c r="IQ109" i="4"/>
  <c r="IQ179" i="4"/>
  <c r="HV85" i="4"/>
  <c r="HV155" i="4"/>
  <c r="IO91" i="4"/>
  <c r="IO90" i="4"/>
  <c r="IP91" i="4" s="1"/>
  <c r="FH90" i="4"/>
  <c r="FI91" i="4" s="1"/>
  <c r="GZ98" i="4"/>
  <c r="FH91" i="4"/>
  <c r="FH84" i="4"/>
  <c r="FI85" i="4" s="1"/>
  <c r="FH85" i="4"/>
  <c r="ES160" i="4"/>
  <c r="ET161" i="4" s="1"/>
  <c r="GL168" i="4"/>
  <c r="ES161" i="4"/>
  <c r="FI94" i="4"/>
  <c r="FI93" i="4"/>
  <c r="FJ94" i="4" s="1"/>
  <c r="FF84" i="4"/>
  <c r="FG85" i="4" s="1"/>
  <c r="FF85" i="4"/>
  <c r="FF161" i="4"/>
  <c r="FF160" i="4"/>
  <c r="FG161" i="4" s="1"/>
  <c r="IO84" i="4"/>
  <c r="IP85" i="4" s="1"/>
  <c r="IO85" i="4"/>
  <c r="GJ87" i="4"/>
  <c r="GK88" i="4" s="1"/>
  <c r="GJ88" i="4"/>
  <c r="IO161" i="4"/>
  <c r="IO160" i="4"/>
  <c r="IP161" i="4" s="1"/>
  <c r="ET164" i="4"/>
  <c r="ET163" i="4"/>
  <c r="EU164" i="4" s="1"/>
  <c r="FL87" i="4"/>
  <c r="FM88" i="4" s="1"/>
  <c r="FL88" i="4"/>
  <c r="IU88" i="4"/>
  <c r="IU87" i="4"/>
  <c r="IV88" i="4" s="1"/>
  <c r="EM6" i="4"/>
  <c r="HY146" i="4"/>
  <c r="HY76" i="4"/>
  <c r="HD156" i="4"/>
  <c r="HD86" i="4"/>
  <c r="IU112" i="4"/>
  <c r="IU182" i="4"/>
  <c r="GZ17" i="4"/>
  <c r="HA18" i="4" s="1"/>
  <c r="GZ86" i="4"/>
  <c r="GZ156" i="4"/>
  <c r="GP30" i="4"/>
  <c r="GP100" i="4"/>
  <c r="GP170" i="4"/>
  <c r="IR92" i="4"/>
  <c r="IR162" i="4"/>
  <c r="IR118" i="4"/>
  <c r="IR188" i="4"/>
  <c r="IU91" i="4"/>
  <c r="IU161" i="4"/>
  <c r="HU162" i="4"/>
  <c r="HU92" i="4"/>
  <c r="IA158" i="4"/>
  <c r="IA88" i="4"/>
  <c r="IA90" i="4"/>
  <c r="IB91" i="4" s="1"/>
  <c r="IA91" i="4"/>
  <c r="HV79" i="4"/>
  <c r="HV78" i="4"/>
  <c r="HU98" i="4"/>
  <c r="FH154" i="4"/>
  <c r="FI155" i="4" s="1"/>
  <c r="FH155" i="4"/>
  <c r="FH160" i="4"/>
  <c r="FI161" i="4" s="1"/>
  <c r="GZ168" i="4"/>
  <c r="FH161" i="4"/>
  <c r="FF154" i="4"/>
  <c r="FG155" i="4" s="1"/>
  <c r="FF155" i="4"/>
  <c r="FF90" i="4"/>
  <c r="FG91" i="4" s="1"/>
  <c r="FF91" i="4"/>
  <c r="IO155" i="4"/>
  <c r="IO154" i="4"/>
  <c r="IP155" i="4" s="1"/>
  <c r="GJ158" i="4"/>
  <c r="GJ157" i="4"/>
  <c r="GK158" i="4" s="1"/>
  <c r="IA24" i="4"/>
  <c r="BF27" i="4"/>
  <c r="BF28" i="4"/>
  <c r="C26" i="4" s="1"/>
  <c r="BF31" i="4" s="1"/>
  <c r="C29" i="4" s="1"/>
  <c r="BO25" i="4" s="1"/>
  <c r="DH42" i="4"/>
  <c r="DG21" i="4"/>
  <c r="IO40" i="4"/>
  <c r="IP41" i="4" s="1"/>
  <c r="IO41" i="4"/>
  <c r="FL17" i="4"/>
  <c r="FM18" i="4" s="1"/>
  <c r="FL18" i="4"/>
  <c r="HU29" i="4"/>
  <c r="HV30" i="4" s="1"/>
  <c r="HU30" i="4"/>
  <c r="CH42" i="4"/>
  <c r="CG21" i="4"/>
  <c r="ET23" i="4"/>
  <c r="EU24" i="4" s="1"/>
  <c r="ET24" i="4"/>
  <c r="IQ20" i="4"/>
  <c r="IR21" i="4" s="1"/>
  <c r="IQ21" i="4"/>
  <c r="IQ46" i="4"/>
  <c r="IR47" i="4" s="1"/>
  <c r="IQ47" i="4"/>
  <c r="IR50" i="4"/>
  <c r="IR49" i="4"/>
  <c r="IS50" i="4" s="1"/>
  <c r="GJ20" i="4"/>
  <c r="GK21" i="4" s="1"/>
  <c r="GJ21" i="4"/>
  <c r="GL22" i="4"/>
  <c r="GJ22" i="4"/>
  <c r="HU17" i="4"/>
  <c r="HV18" i="4" s="1"/>
  <c r="HU18" i="4"/>
  <c r="BZ6" i="4"/>
  <c r="EG6" i="4"/>
  <c r="EK6" i="4" s="1"/>
  <c r="CC6" i="4"/>
  <c r="CE6" i="4"/>
  <c r="CG6" i="4" s="1"/>
  <c r="CA6" i="4"/>
  <c r="EI6" i="4" s="1"/>
  <c r="CA36" i="4"/>
  <c r="CB54" i="4" s="1"/>
  <c r="BP9" i="4"/>
  <c r="C19" i="4" s="1"/>
  <c r="DF6" i="4"/>
  <c r="DE6" i="4"/>
  <c r="AX11" i="4"/>
  <c r="AY11" i="4" s="1"/>
  <c r="AZ11" i="4" s="1"/>
  <c r="AW11" i="4"/>
  <c r="AV12" i="4" s="1"/>
  <c r="GX17" i="4"/>
  <c r="GY18" i="4" s="1"/>
  <c r="GX18" i="4"/>
  <c r="FF14" i="4"/>
  <c r="FG15" i="4" s="1"/>
  <c r="FF15" i="4"/>
  <c r="IO47" i="4"/>
  <c r="IO46" i="4"/>
  <c r="IP47" i="4" s="1"/>
  <c r="IQ15" i="4"/>
  <c r="IQ14" i="4"/>
  <c r="IR15" i="4" s="1"/>
  <c r="ES14" i="4"/>
  <c r="ET15" i="4" s="1"/>
  <c r="ES15" i="4"/>
  <c r="HV26" i="4"/>
  <c r="HW27" i="4" s="1"/>
  <c r="IU47" i="4"/>
  <c r="FL21" i="4"/>
  <c r="FL15" i="4"/>
  <c r="IU41" i="4"/>
  <c r="BL51" i="4"/>
  <c r="HD18" i="4"/>
  <c r="HD17" i="4"/>
  <c r="HE18" i="4" s="1"/>
  <c r="IU43" i="4"/>
  <c r="IV44" i="4" s="1"/>
  <c r="IU44" i="4"/>
  <c r="IQ41" i="4"/>
  <c r="IQ40" i="4"/>
  <c r="IR41" i="4" s="1"/>
  <c r="FH15" i="4"/>
  <c r="FH14" i="4"/>
  <c r="FI15" i="4" s="1"/>
  <c r="GL28" i="4"/>
  <c r="ES21" i="4"/>
  <c r="ES20" i="4"/>
  <c r="ET21" i="4" s="1"/>
  <c r="GX19" i="4"/>
  <c r="GZ18" i="4"/>
  <c r="GZ19" i="4"/>
  <c r="FF20" i="4"/>
  <c r="FG21" i="4" s="1"/>
  <c r="FF21" i="4"/>
  <c r="EM9" i="4"/>
  <c r="GZ28" i="4"/>
  <c r="FH21" i="4"/>
  <c r="FH20" i="4"/>
  <c r="FI21" i="4" s="1"/>
  <c r="IR24" i="4"/>
  <c r="IR23" i="4"/>
  <c r="IS24" i="4" s="1"/>
  <c r="FI24" i="4"/>
  <c r="FI23" i="4"/>
  <c r="FJ24" i="4" s="1"/>
  <c r="GL20" i="4"/>
  <c r="GM21" i="4" s="1"/>
  <c r="GL21" i="4"/>
  <c r="GR19" i="4"/>
  <c r="HU24" i="4"/>
  <c r="HU23" i="4"/>
  <c r="HV24" i="4" s="1"/>
  <c r="EM27" i="4" l="1"/>
  <c r="CF57" i="6"/>
  <c r="CJ63" i="6" s="1"/>
  <c r="CI36" i="6"/>
  <c r="AW12" i="6"/>
  <c r="AV13" i="6" s="1"/>
  <c r="AX12" i="6"/>
  <c r="AY12" i="6" s="1"/>
  <c r="AZ12" i="6" s="1"/>
  <c r="BL26" i="6"/>
  <c r="BL27" i="6"/>
  <c r="BL28" i="6"/>
  <c r="CF30" i="6"/>
  <c r="CJ36" i="6" s="1"/>
  <c r="HU99" i="4"/>
  <c r="HV100" i="4" s="1"/>
  <c r="HU100" i="4"/>
  <c r="HU164" i="4"/>
  <c r="HU163" i="4"/>
  <c r="HV164" i="4" s="1"/>
  <c r="IR119" i="4"/>
  <c r="IS120" i="4" s="1"/>
  <c r="IR120" i="4"/>
  <c r="HD88" i="4"/>
  <c r="HD87" i="4"/>
  <c r="HE88" i="4" s="1"/>
  <c r="IQ181" i="4"/>
  <c r="IQ180" i="4"/>
  <c r="IR181" i="4" s="1"/>
  <c r="IU117" i="4"/>
  <c r="IU187" i="4"/>
  <c r="HU93" i="4"/>
  <c r="HV94" i="4" s="1"/>
  <c r="HU94" i="4"/>
  <c r="IR189" i="4"/>
  <c r="IS190" i="4" s="1"/>
  <c r="IR190" i="4"/>
  <c r="GZ88" i="4"/>
  <c r="GZ87" i="4"/>
  <c r="HA88" i="4" s="1"/>
  <c r="GZ89" i="4"/>
  <c r="GX89" i="4"/>
  <c r="IU114" i="4"/>
  <c r="IU113" i="4"/>
  <c r="IV114" i="4" s="1"/>
  <c r="GL169" i="4"/>
  <c r="GM170" i="4" s="1"/>
  <c r="GL170" i="4"/>
  <c r="IO117" i="4"/>
  <c r="IO116" i="4"/>
  <c r="IP117" i="4" s="1"/>
  <c r="GL99" i="4"/>
  <c r="GM100" i="4" s="1"/>
  <c r="GL100" i="4"/>
  <c r="HU170" i="4"/>
  <c r="HU169" i="4"/>
  <c r="HV170" i="4" s="1"/>
  <c r="IQ161" i="4"/>
  <c r="IQ160" i="4"/>
  <c r="IR161" i="4" s="1"/>
  <c r="IO111" i="4"/>
  <c r="IO110" i="4"/>
  <c r="IP111" i="4" s="1"/>
  <c r="GL90" i="4"/>
  <c r="GM91" i="4" s="1"/>
  <c r="GL91" i="4"/>
  <c r="GR89" i="4"/>
  <c r="IU111" i="4"/>
  <c r="IU181" i="4"/>
  <c r="HU157" i="4"/>
  <c r="HV158" i="4" s="1"/>
  <c r="HU158" i="4"/>
  <c r="IR164" i="4"/>
  <c r="IR163" i="4"/>
  <c r="IS164" i="4" s="1"/>
  <c r="HD158" i="4"/>
  <c r="HD157" i="4"/>
  <c r="HE158" i="4" s="1"/>
  <c r="IQ111" i="4"/>
  <c r="IQ110" i="4"/>
  <c r="IR111" i="4" s="1"/>
  <c r="IQ84" i="4"/>
  <c r="IR85" i="4" s="1"/>
  <c r="IQ85" i="4"/>
  <c r="GJ162" i="4"/>
  <c r="GJ161" i="4"/>
  <c r="GL162" i="4"/>
  <c r="GJ160" i="4"/>
  <c r="GK161" i="4" s="1"/>
  <c r="GL161" i="4"/>
  <c r="GR159" i="4"/>
  <c r="GL160" i="4"/>
  <c r="GM161" i="4" s="1"/>
  <c r="HU87" i="4"/>
  <c r="HV88" i="4" s="1"/>
  <c r="HU88" i="4"/>
  <c r="IQ187" i="4"/>
  <c r="IQ186" i="4"/>
  <c r="IR187" i="4" s="1"/>
  <c r="GL92" i="4"/>
  <c r="GJ90" i="4"/>
  <c r="GK91" i="4" s="1"/>
  <c r="GJ92" i="4"/>
  <c r="GJ91" i="4"/>
  <c r="GX88" i="4"/>
  <c r="GX87" i="4"/>
  <c r="GY88" i="4" s="1"/>
  <c r="IA94" i="4"/>
  <c r="IA164" i="4"/>
  <c r="IO187" i="4"/>
  <c r="IO186" i="4"/>
  <c r="IP187" i="4" s="1"/>
  <c r="IQ117" i="4"/>
  <c r="IQ116" i="4"/>
  <c r="IR117" i="4" s="1"/>
  <c r="HV167" i="4"/>
  <c r="HV166" i="4"/>
  <c r="HW167" i="4" s="1"/>
  <c r="GZ169" i="4"/>
  <c r="HA170" i="4" s="1"/>
  <c r="GZ170" i="4"/>
  <c r="IR93" i="4"/>
  <c r="IS94" i="4" s="1"/>
  <c r="IR94" i="4"/>
  <c r="GZ157" i="4"/>
  <c r="HA158" i="4" s="1"/>
  <c r="GX159" i="4"/>
  <c r="GZ158" i="4"/>
  <c r="GZ159" i="4"/>
  <c r="IU184" i="4"/>
  <c r="IU183" i="4"/>
  <c r="IV184" i="4" s="1"/>
  <c r="GZ99" i="4"/>
  <c r="HA100" i="4" s="1"/>
  <c r="GZ100" i="4"/>
  <c r="IQ155" i="4"/>
  <c r="IQ154" i="4"/>
  <c r="IR155" i="4" s="1"/>
  <c r="IQ91" i="4"/>
  <c r="IQ90" i="4"/>
  <c r="IR91" i="4" s="1"/>
  <c r="IO181" i="4"/>
  <c r="IO180" i="4"/>
  <c r="IP181" i="4" s="1"/>
  <c r="HV97" i="4"/>
  <c r="HV96" i="4"/>
  <c r="HW97" i="4" s="1"/>
  <c r="GX158" i="4"/>
  <c r="GX157" i="4"/>
  <c r="GY158" i="4" s="1"/>
  <c r="DE15" i="4"/>
  <c r="DK15" i="4" s="1"/>
  <c r="BY15" i="4"/>
  <c r="CE15" i="4" s="1"/>
  <c r="CG15" i="4" s="1"/>
  <c r="BY21" i="4"/>
  <c r="EI27" i="4" s="1"/>
  <c r="DE21" i="4"/>
  <c r="EA54" i="4" s="1"/>
  <c r="BN54" i="4"/>
  <c r="BN51" i="4"/>
  <c r="BO24" i="4"/>
  <c r="BI64" i="4"/>
  <c r="BI62" i="4"/>
  <c r="BN56" i="4"/>
  <c r="BM56" i="4"/>
  <c r="BM54" i="4"/>
  <c r="BN52" i="4"/>
  <c r="BM55" i="4"/>
  <c r="BN55" i="4"/>
  <c r="C30" i="4"/>
  <c r="BM52" i="4"/>
  <c r="BI63" i="4"/>
  <c r="BJ63" i="4" s="1"/>
  <c r="BM51" i="4"/>
  <c r="BZ21" i="4"/>
  <c r="EM24" i="4"/>
  <c r="GZ29" i="4"/>
  <c r="HA30" i="4" s="1"/>
  <c r="GZ30" i="4"/>
  <c r="GX21" i="4"/>
  <c r="GZ22" i="4"/>
  <c r="GX20" i="4"/>
  <c r="GY21" i="4" s="1"/>
  <c r="GX22" i="4"/>
  <c r="AW12" i="4"/>
  <c r="AV13" i="4" s="1"/>
  <c r="AX12" i="4"/>
  <c r="AY12" i="4" s="1"/>
  <c r="AZ12" i="4" s="1"/>
  <c r="FT12" i="4"/>
  <c r="CA12" i="4" s="1"/>
  <c r="CB12" i="4" s="1"/>
  <c r="FU43" i="4"/>
  <c r="BR7" i="4"/>
  <c r="BT7" i="4" s="1"/>
  <c r="BT13" i="4" s="1"/>
  <c r="DF24" i="4"/>
  <c r="GL30" i="4"/>
  <c r="GL29" i="4"/>
  <c r="GM30" i="4" s="1"/>
  <c r="DH21" i="4"/>
  <c r="BY24" i="4"/>
  <c r="CK21" i="4"/>
  <c r="CY27" i="4"/>
  <c r="CQ27" i="4"/>
  <c r="CI21" i="4"/>
  <c r="DC51" i="4" s="1"/>
  <c r="DC36" i="4"/>
  <c r="CS36" i="4"/>
  <c r="CO21" i="4"/>
  <c r="CQ24" i="4"/>
  <c r="CM21" i="4"/>
  <c r="CO27" i="4"/>
  <c r="CQ36" i="4"/>
  <c r="CW21" i="4"/>
  <c r="CY30" i="4"/>
  <c r="CM27" i="4"/>
  <c r="CY33" i="4"/>
  <c r="CW24" i="4"/>
  <c r="CO24" i="4"/>
  <c r="CS21" i="4"/>
  <c r="CY48" i="4"/>
  <c r="DA30" i="4"/>
  <c r="CQ33" i="4"/>
  <c r="CY42" i="4"/>
  <c r="DC45" i="4"/>
  <c r="DC21" i="4"/>
  <c r="CM30" i="4"/>
  <c r="CK24" i="4"/>
  <c r="CU39" i="4"/>
  <c r="CU24" i="4"/>
  <c r="CS27" i="4"/>
  <c r="DA24" i="4"/>
  <c r="CU30" i="4"/>
  <c r="CY21" i="4"/>
  <c r="DC39" i="4"/>
  <c r="DA39" i="4"/>
  <c r="CY45" i="4"/>
  <c r="CQ30" i="4"/>
  <c r="CY36" i="4"/>
  <c r="DC30" i="4"/>
  <c r="CK27" i="4"/>
  <c r="DC54" i="4"/>
  <c r="DA48" i="4"/>
  <c r="DC48" i="4"/>
  <c r="CW27" i="4"/>
  <c r="CY39" i="4"/>
  <c r="CU27" i="4"/>
  <c r="DA21" i="4"/>
  <c r="CW30" i="4"/>
  <c r="DA33" i="4"/>
  <c r="CU21" i="4"/>
  <c r="DC42" i="4"/>
  <c r="DC24" i="4"/>
  <c r="CW36" i="4"/>
  <c r="DA42" i="4"/>
  <c r="CO30" i="4"/>
  <c r="CS39" i="4"/>
  <c r="CW33" i="4"/>
  <c r="DC27" i="4"/>
  <c r="CQ21" i="4"/>
  <c r="DA36" i="4"/>
  <c r="DC33" i="4"/>
  <c r="CS33" i="4"/>
  <c r="CW39" i="4"/>
  <c r="CU42" i="4"/>
  <c r="CY24" i="4"/>
  <c r="CW42" i="4"/>
  <c r="CI24" i="4"/>
  <c r="CS30" i="4"/>
  <c r="CU33" i="4"/>
  <c r="CU36" i="4"/>
  <c r="DA51" i="4"/>
  <c r="CO33" i="4"/>
  <c r="DA27" i="4"/>
  <c r="CS24" i="4"/>
  <c r="CW45" i="4"/>
  <c r="DA45" i="4"/>
  <c r="CM24" i="4"/>
  <c r="DF15" i="4"/>
  <c r="GR20" i="4"/>
  <c r="GS21" i="4" s="1"/>
  <c r="GR21" i="4"/>
  <c r="DE24" i="4"/>
  <c r="GZ20" i="4"/>
  <c r="HA21" i="4" s="1"/>
  <c r="GZ21" i="4"/>
  <c r="HF19" i="4"/>
  <c r="EA15" i="4"/>
  <c r="DF21" i="4"/>
  <c r="DY6" i="4"/>
  <c r="DQ6" i="4"/>
  <c r="DI6" i="4"/>
  <c r="EE6" i="4"/>
  <c r="DW6" i="4"/>
  <c r="DO6" i="4"/>
  <c r="EC6" i="4"/>
  <c r="DU6" i="4"/>
  <c r="DM6" i="4"/>
  <c r="DG6" i="4"/>
  <c r="EA6" i="4"/>
  <c r="DS6" i="4"/>
  <c r="DK6" i="4"/>
  <c r="CF6" i="4"/>
  <c r="CD6" i="4"/>
  <c r="EH6" i="4"/>
  <c r="EL6" i="4" s="1"/>
  <c r="EJ6" i="4"/>
  <c r="CB6" i="4"/>
  <c r="GJ24" i="4"/>
  <c r="GJ23" i="4"/>
  <c r="GK24" i="4" s="1"/>
  <c r="GP22" i="4"/>
  <c r="CV72" i="4"/>
  <c r="CJ48" i="4"/>
  <c r="CV66" i="4"/>
  <c r="CZ81" i="4"/>
  <c r="CX84" i="4"/>
  <c r="DD87" i="4"/>
  <c r="DB87" i="4"/>
  <c r="CX69" i="4"/>
  <c r="CR69" i="4"/>
  <c r="CX75" i="4"/>
  <c r="CR72" i="4"/>
  <c r="CR57" i="4"/>
  <c r="DB96" i="4"/>
  <c r="CT75" i="4"/>
  <c r="CZ87" i="4"/>
  <c r="CZ90" i="4"/>
  <c r="DD81" i="4"/>
  <c r="CJ45" i="4"/>
  <c r="CT69" i="4"/>
  <c r="CT78" i="4"/>
  <c r="DD96" i="4"/>
  <c r="DD99" i="4"/>
  <c r="CL48" i="4"/>
  <c r="DD93" i="4"/>
  <c r="CZ69" i="4"/>
  <c r="CZ75" i="4"/>
  <c r="CT72" i="4"/>
  <c r="CZ84" i="4"/>
  <c r="CX87" i="4"/>
  <c r="CN57" i="4"/>
  <c r="DD84" i="4"/>
  <c r="CZ96" i="4"/>
  <c r="CZ78" i="4"/>
  <c r="CT60" i="4"/>
  <c r="CX72" i="4"/>
  <c r="DB90" i="4"/>
  <c r="CN54" i="4"/>
  <c r="DB78" i="4"/>
  <c r="CR66" i="4"/>
  <c r="CN60" i="4"/>
  <c r="DD75" i="4"/>
  <c r="DB93" i="4"/>
  <c r="CT63" i="4"/>
  <c r="DD102" i="4"/>
  <c r="CT66" i="4"/>
  <c r="DD78" i="4"/>
  <c r="CP66" i="4"/>
  <c r="DB75" i="4"/>
  <c r="DB99" i="4"/>
  <c r="DB81" i="4"/>
  <c r="CZ72" i="4"/>
  <c r="DD108" i="4"/>
  <c r="CP63" i="4"/>
  <c r="CP54" i="4"/>
  <c r="CP57" i="4"/>
  <c r="CV81" i="4"/>
  <c r="DB84" i="4"/>
  <c r="DD105" i="4"/>
  <c r="CX66" i="4"/>
  <c r="CR60" i="4"/>
  <c r="CV84" i="4"/>
  <c r="CX78" i="4"/>
  <c r="CX81" i="4"/>
  <c r="DD90" i="4"/>
  <c r="CL54" i="4"/>
  <c r="DB102" i="4"/>
  <c r="CX90" i="4"/>
  <c r="CV75" i="4"/>
  <c r="CN51" i="4"/>
  <c r="CL51" i="4"/>
  <c r="CZ93" i="4"/>
  <c r="CV78" i="4"/>
  <c r="CV69" i="4"/>
  <c r="CV63" i="4"/>
  <c r="CP60" i="4"/>
  <c r="CR63" i="4"/>
  <c r="DB72" i="4"/>
  <c r="EE54" i="4"/>
  <c r="EE42" i="4"/>
  <c r="EE30" i="4"/>
  <c r="EC54" i="4"/>
  <c r="EC42" i="4"/>
  <c r="EC30" i="4"/>
  <c r="EA51" i="4"/>
  <c r="EA39" i="4"/>
  <c r="EA27" i="4"/>
  <c r="DY45" i="4"/>
  <c r="DY33" i="4"/>
  <c r="DY21" i="4"/>
  <c r="DW36" i="4"/>
  <c r="DW24" i="4"/>
  <c r="DU36" i="4"/>
  <c r="DU24" i="4"/>
  <c r="DS33" i="4"/>
  <c r="DS21" i="4"/>
  <c r="DQ27" i="4"/>
  <c r="DO30" i="4"/>
  <c r="DM30" i="4"/>
  <c r="DK27" i="4"/>
  <c r="DI21" i="4"/>
  <c r="EE51" i="4"/>
  <c r="EE39" i="4"/>
  <c r="EE27" i="4"/>
  <c r="EC51" i="4"/>
  <c r="EC39" i="4"/>
  <c r="EC27" i="4"/>
  <c r="EA48" i="4"/>
  <c r="EA36" i="4"/>
  <c r="EA24" i="4"/>
  <c r="DY42" i="4"/>
  <c r="DY30" i="4"/>
  <c r="DW45" i="4"/>
  <c r="DW33" i="4"/>
  <c r="DW21" i="4"/>
  <c r="DU33" i="4"/>
  <c r="DU21" i="4"/>
  <c r="DS30" i="4"/>
  <c r="DQ36" i="4"/>
  <c r="DQ24" i="4"/>
  <c r="DO27" i="4"/>
  <c r="DM27" i="4"/>
  <c r="DK24" i="4"/>
  <c r="EE48" i="4"/>
  <c r="EE36" i="4"/>
  <c r="EE24" i="4"/>
  <c r="EC48" i="4"/>
  <c r="EC36" i="4"/>
  <c r="EC24" i="4"/>
  <c r="EA45" i="4"/>
  <c r="EA33" i="4"/>
  <c r="EA21" i="4"/>
  <c r="DY39" i="4"/>
  <c r="DY27" i="4"/>
  <c r="DW42" i="4"/>
  <c r="DW30" i="4"/>
  <c r="DU42" i="4"/>
  <c r="DU30" i="4"/>
  <c r="DS39" i="4"/>
  <c r="DS27" i="4"/>
  <c r="DQ33" i="4"/>
  <c r="DQ21" i="4"/>
  <c r="DO24" i="4"/>
  <c r="DM24" i="4"/>
  <c r="DK21" i="4"/>
  <c r="EE57" i="4"/>
  <c r="EE45" i="4"/>
  <c r="EE33" i="4"/>
  <c r="EE21" i="4"/>
  <c r="EC45" i="4"/>
  <c r="EC33" i="4"/>
  <c r="EC21" i="4"/>
  <c r="EA42" i="4"/>
  <c r="EA30" i="4"/>
  <c r="DY48" i="4"/>
  <c r="DY36" i="4"/>
  <c r="DY24" i="4"/>
  <c r="DW39" i="4"/>
  <c r="DW27" i="4"/>
  <c r="DU39" i="4"/>
  <c r="DU27" i="4"/>
  <c r="DS36" i="4"/>
  <c r="DS24" i="4"/>
  <c r="DQ30" i="4"/>
  <c r="DO33" i="4"/>
  <c r="DO21" i="4"/>
  <c r="DM21" i="4"/>
  <c r="DI24" i="4"/>
  <c r="BZ24" i="4"/>
  <c r="BZ15" i="4"/>
  <c r="EF6" i="4"/>
  <c r="EB6" i="4"/>
  <c r="DX6" i="4"/>
  <c r="DT6" i="4"/>
  <c r="DP6" i="4"/>
  <c r="DL6" i="4"/>
  <c r="ED6" i="4"/>
  <c r="DZ6" i="4"/>
  <c r="DV6" i="4"/>
  <c r="DR6" i="4"/>
  <c r="DN6" i="4"/>
  <c r="DJ6" i="4"/>
  <c r="DH6" i="4"/>
  <c r="CM6" i="4"/>
  <c r="CQ6" i="4"/>
  <c r="CY6" i="4"/>
  <c r="DA6" i="4"/>
  <c r="CK6" i="4"/>
  <c r="CO6" i="4"/>
  <c r="CW6" i="4"/>
  <c r="CS6" i="4"/>
  <c r="CU6" i="4"/>
  <c r="CI6" i="4"/>
  <c r="DC6" i="4"/>
  <c r="EM18" i="4"/>
  <c r="GL24" i="4"/>
  <c r="GL25" i="4"/>
  <c r="GL23" i="4"/>
  <c r="GM24" i="4" s="1"/>
  <c r="GJ25" i="4"/>
  <c r="EM30" i="4"/>
  <c r="CH21" i="4"/>
  <c r="DX90" i="4"/>
  <c r="EF114" i="4"/>
  <c r="EF102" i="4"/>
  <c r="EF90" i="4"/>
  <c r="EF78" i="4"/>
  <c r="ED96" i="4"/>
  <c r="ED84" i="4"/>
  <c r="EB99" i="4"/>
  <c r="EB87" i="4"/>
  <c r="EB75" i="4"/>
  <c r="DZ87" i="4"/>
  <c r="DZ75" i="4"/>
  <c r="DX84" i="4"/>
  <c r="DX72" i="4"/>
  <c r="DV81" i="4"/>
  <c r="DV69" i="4"/>
  <c r="DT75" i="4"/>
  <c r="DT63" i="4"/>
  <c r="DR66" i="4"/>
  <c r="DP66" i="4"/>
  <c r="DP54" i="4"/>
  <c r="DN51" i="4"/>
  <c r="DJ48" i="4"/>
  <c r="DZ96" i="4"/>
  <c r="EF111" i="4"/>
  <c r="EF99" i="4"/>
  <c r="EF87" i="4"/>
  <c r="ED105" i="4"/>
  <c r="ED93" i="4"/>
  <c r="ED81" i="4"/>
  <c r="EB96" i="4"/>
  <c r="EB84" i="4"/>
  <c r="EB72" i="4"/>
  <c r="DZ84" i="4"/>
  <c r="DZ72" i="4"/>
  <c r="DX81" i="4"/>
  <c r="DX69" i="4"/>
  <c r="DV78" i="4"/>
  <c r="DV66" i="4"/>
  <c r="DT72" i="4"/>
  <c r="DT60" i="4"/>
  <c r="DR63" i="4"/>
  <c r="DP63" i="4"/>
  <c r="DN60" i="4"/>
  <c r="DL54" i="4"/>
  <c r="DJ45" i="4"/>
  <c r="EB102" i="4"/>
  <c r="EF108" i="4"/>
  <c r="EF96" i="4"/>
  <c r="EF84" i="4"/>
  <c r="ED102" i="4"/>
  <c r="ED90" i="4"/>
  <c r="ED78" i="4"/>
  <c r="EB93" i="4"/>
  <c r="EB81" i="4"/>
  <c r="DZ93" i="4"/>
  <c r="DZ81" i="4"/>
  <c r="DZ69" i="4"/>
  <c r="DX78" i="4"/>
  <c r="DX66" i="4"/>
  <c r="DV75" i="4"/>
  <c r="DV63" i="4"/>
  <c r="DT69" i="4"/>
  <c r="DR72" i="4"/>
  <c r="DR60" i="4"/>
  <c r="DP60" i="4"/>
  <c r="DN57" i="4"/>
  <c r="DL51" i="4"/>
  <c r="ED108" i="4"/>
  <c r="EF105" i="4"/>
  <c r="EF93" i="4"/>
  <c r="EF81" i="4"/>
  <c r="ED99" i="4"/>
  <c r="ED87" i="4"/>
  <c r="ED75" i="4"/>
  <c r="EB90" i="4"/>
  <c r="EB78" i="4"/>
  <c r="DZ90" i="4"/>
  <c r="DZ78" i="4"/>
  <c r="DX87" i="4"/>
  <c r="DX75" i="4"/>
  <c r="DV84" i="4"/>
  <c r="DV72" i="4"/>
  <c r="DT78" i="4"/>
  <c r="DT66" i="4"/>
  <c r="DR69" i="4"/>
  <c r="DR57" i="4"/>
  <c r="DP57" i="4"/>
  <c r="DN54" i="4"/>
  <c r="DL48" i="4"/>
  <c r="AW13" i="6" l="1"/>
  <c r="AV14" i="6" s="1"/>
  <c r="AX13" i="6"/>
  <c r="AY13" i="6" s="1"/>
  <c r="AZ13" i="6" s="1"/>
  <c r="GX162" i="4"/>
  <c r="GX161" i="4"/>
  <c r="GZ162" i="4"/>
  <c r="GX160" i="4"/>
  <c r="GY161" i="4" s="1"/>
  <c r="GZ91" i="4"/>
  <c r="HF89" i="4"/>
  <c r="GZ90" i="4"/>
  <c r="HA91" i="4" s="1"/>
  <c r="GZ160" i="4"/>
  <c r="HA161" i="4" s="1"/>
  <c r="GZ161" i="4"/>
  <c r="HF159" i="4"/>
  <c r="GL94" i="4"/>
  <c r="GL93" i="4"/>
  <c r="GM94" i="4" s="1"/>
  <c r="GL95" i="4"/>
  <c r="GJ95" i="4"/>
  <c r="GP162" i="4"/>
  <c r="GJ164" i="4"/>
  <c r="GJ163" i="4"/>
  <c r="GK164" i="4" s="1"/>
  <c r="GP92" i="4"/>
  <c r="GJ94" i="4"/>
  <c r="GJ93" i="4"/>
  <c r="GK94" i="4" s="1"/>
  <c r="GX90" i="4"/>
  <c r="GY91" i="4" s="1"/>
  <c r="GX92" i="4"/>
  <c r="GX91" i="4"/>
  <c r="GZ92" i="4"/>
  <c r="GR161" i="4"/>
  <c r="GR160" i="4"/>
  <c r="GS161" i="4" s="1"/>
  <c r="GJ165" i="4"/>
  <c r="GL163" i="4"/>
  <c r="GM164" i="4" s="1"/>
  <c r="GL164" i="4"/>
  <c r="GL165" i="4"/>
  <c r="GR90" i="4"/>
  <c r="GS91" i="4" s="1"/>
  <c r="GR91" i="4"/>
  <c r="EU82" i="4"/>
  <c r="GT158" i="4"/>
  <c r="GT88" i="4"/>
  <c r="EU152" i="4"/>
  <c r="FB88" i="4"/>
  <c r="FB158" i="4"/>
  <c r="HH158" i="4"/>
  <c r="FQ158" i="4"/>
  <c r="FJ82" i="4"/>
  <c r="HH88" i="4"/>
  <c r="FQ88" i="4"/>
  <c r="FJ152" i="4"/>
  <c r="DO15" i="4"/>
  <c r="DW15" i="4"/>
  <c r="DF33" i="4"/>
  <c r="DZ63" i="4" s="1"/>
  <c r="DY15" i="4"/>
  <c r="DM15" i="4"/>
  <c r="DS15" i="4"/>
  <c r="DG15" i="4"/>
  <c r="DI15" i="4"/>
  <c r="EC15" i="4"/>
  <c r="DQ15" i="4"/>
  <c r="DU15" i="4"/>
  <c r="EE15" i="4"/>
  <c r="BZ33" i="4"/>
  <c r="CB42" i="4" s="1"/>
  <c r="DU45" i="4"/>
  <c r="CA30" i="4"/>
  <c r="CC36" i="4"/>
  <c r="CC15" i="4"/>
  <c r="CE21" i="4"/>
  <c r="CG24" i="4" s="1"/>
  <c r="DA54" i="4" s="1"/>
  <c r="EG15" i="4"/>
  <c r="EK21" i="4" s="1"/>
  <c r="CA24" i="4"/>
  <c r="BZ39" i="4"/>
  <c r="EJ45" i="4" s="1"/>
  <c r="EI21" i="4"/>
  <c r="EC57" i="4"/>
  <c r="DF39" i="4"/>
  <c r="DM33" i="4"/>
  <c r="DG24" i="4"/>
  <c r="DO36" i="4"/>
  <c r="DW48" i="4"/>
  <c r="EE60" i="4"/>
  <c r="DI27" i="4"/>
  <c r="DQ39" i="4"/>
  <c r="DY51" i="4"/>
  <c r="DK30" i="4"/>
  <c r="DS42" i="4"/>
  <c r="FB18" i="4"/>
  <c r="BY18" i="4" s="1"/>
  <c r="HO12" i="4"/>
  <c r="IZ18" i="4"/>
  <c r="HQ18" i="4"/>
  <c r="IT12" i="4"/>
  <c r="HY15" i="4"/>
  <c r="IF21" i="4"/>
  <c r="EU12" i="4"/>
  <c r="BY12" i="4" s="1"/>
  <c r="GT18" i="4"/>
  <c r="EG18" i="4" s="1"/>
  <c r="BI67" i="4"/>
  <c r="FJ12" i="4"/>
  <c r="BZ12" i="4" s="1"/>
  <c r="IT38" i="4"/>
  <c r="IZ44" i="4"/>
  <c r="FQ18" i="4"/>
  <c r="BZ18" i="4" s="1"/>
  <c r="CD27" i="4" s="1"/>
  <c r="HH18" i="4"/>
  <c r="EH18" i="4" s="1"/>
  <c r="EL24" i="4" s="1"/>
  <c r="BN53" i="4"/>
  <c r="BT24" i="4"/>
  <c r="BT21" i="4"/>
  <c r="BT36" i="4"/>
  <c r="BT27" i="4"/>
  <c r="BT16" i="4"/>
  <c r="BT33" i="4"/>
  <c r="BT25" i="4"/>
  <c r="BT26" i="4"/>
  <c r="BT35" i="4"/>
  <c r="BT15" i="4"/>
  <c r="BT31" i="4"/>
  <c r="BT22" i="4"/>
  <c r="BT30" i="4"/>
  <c r="BT32" i="4"/>
  <c r="BT28" i="4"/>
  <c r="BT37" i="4"/>
  <c r="BT29" i="4"/>
  <c r="BT23" i="4"/>
  <c r="BT38" i="4"/>
  <c r="BT17" i="4"/>
  <c r="BT20" i="4"/>
  <c r="BT34" i="4"/>
  <c r="BT18" i="4"/>
  <c r="BT19" i="4"/>
  <c r="BI65" i="4"/>
  <c r="BL17" i="4" s="1"/>
  <c r="BJ65" i="4"/>
  <c r="BL25" i="4" s="1"/>
  <c r="BN57" i="4"/>
  <c r="EG21" i="4"/>
  <c r="ED57" i="4"/>
  <c r="DZ51" i="4"/>
  <c r="DV45" i="4"/>
  <c r="DR39" i="4"/>
  <c r="DN33" i="4"/>
  <c r="DJ27" i="4"/>
  <c r="DH24" i="4"/>
  <c r="EF60" i="4"/>
  <c r="EB54" i="4"/>
  <c r="DX48" i="4"/>
  <c r="DT42" i="4"/>
  <c r="DP36" i="4"/>
  <c r="DL30" i="4"/>
  <c r="ED60" i="4"/>
  <c r="DZ54" i="4"/>
  <c r="DV48" i="4"/>
  <c r="DR42" i="4"/>
  <c r="DN36" i="4"/>
  <c r="DJ30" i="4"/>
  <c r="DH27" i="4"/>
  <c r="EF63" i="4"/>
  <c r="EB57" i="4"/>
  <c r="DX51" i="4"/>
  <c r="DT45" i="4"/>
  <c r="DP39" i="4"/>
  <c r="DL33" i="4"/>
  <c r="CR27" i="4"/>
  <c r="CT30" i="4"/>
  <c r="CP27" i="4"/>
  <c r="CR24" i="4"/>
  <c r="CN30" i="4"/>
  <c r="DD21" i="4"/>
  <c r="DB21" i="4"/>
  <c r="CR30" i="4"/>
  <c r="CT39" i="4"/>
  <c r="CX30" i="4"/>
  <c r="DB33" i="4"/>
  <c r="CL27" i="4"/>
  <c r="CZ48" i="4"/>
  <c r="DD36" i="4"/>
  <c r="CN24" i="4"/>
  <c r="CX24" i="4"/>
  <c r="CX45" i="4"/>
  <c r="DD42" i="4"/>
  <c r="DB51" i="4"/>
  <c r="DB42" i="4"/>
  <c r="CT36" i="4"/>
  <c r="CT27" i="4"/>
  <c r="DB45" i="4"/>
  <c r="CV42" i="4"/>
  <c r="CZ39" i="4"/>
  <c r="DD24" i="4"/>
  <c r="DD45" i="4"/>
  <c r="CV21" i="4"/>
  <c r="CX39" i="4"/>
  <c r="DD27" i="4"/>
  <c r="CZ45" i="4"/>
  <c r="CV36" i="4"/>
  <c r="CZ30" i="4"/>
  <c r="DD30" i="4"/>
  <c r="CV30" i="4"/>
  <c r="CX21" i="4"/>
  <c r="CL21" i="4"/>
  <c r="CN21" i="4"/>
  <c r="CZ24" i="4"/>
  <c r="CZ33" i="4"/>
  <c r="DB24" i="4"/>
  <c r="CR36" i="4"/>
  <c r="DB48" i="4"/>
  <c r="CZ36" i="4"/>
  <c r="CX33" i="4"/>
  <c r="DB39" i="4"/>
  <c r="CL24" i="4"/>
  <c r="CT21" i="4"/>
  <c r="CV24" i="4"/>
  <c r="DD48" i="4"/>
  <c r="CJ21" i="4"/>
  <c r="CN27" i="4"/>
  <c r="CZ42" i="4"/>
  <c r="CJ24" i="4"/>
  <c r="DB30" i="4"/>
  <c r="CT33" i="4"/>
  <c r="DD51" i="4"/>
  <c r="CX42" i="4"/>
  <c r="DB27" i="4"/>
  <c r="DD39" i="4"/>
  <c r="DD54" i="4"/>
  <c r="CT24" i="4"/>
  <c r="CP24" i="4"/>
  <c r="CP33" i="4"/>
  <c r="CX27" i="4"/>
  <c r="CZ21" i="4"/>
  <c r="DD33" i="4"/>
  <c r="CV33" i="4"/>
  <c r="CP21" i="4"/>
  <c r="CX36" i="4"/>
  <c r="CZ27" i="4"/>
  <c r="CV27" i="4"/>
  <c r="DB36" i="4"/>
  <c r="CR21" i="4"/>
  <c r="CP30" i="4"/>
  <c r="CV39" i="4"/>
  <c r="CR33" i="4"/>
  <c r="GL26" i="4"/>
  <c r="GM27" i="4" s="1"/>
  <c r="GR25" i="4"/>
  <c r="GL27" i="4"/>
  <c r="HF20" i="4"/>
  <c r="HG21" i="4" s="1"/>
  <c r="HF21" i="4"/>
  <c r="EE63" i="4"/>
  <c r="EC60" i="4"/>
  <c r="EA57" i="4"/>
  <c r="DY54" i="4"/>
  <c r="DW51" i="4"/>
  <c r="DU48" i="4"/>
  <c r="DS45" i="4"/>
  <c r="DQ42" i="4"/>
  <c r="DO39" i="4"/>
  <c r="DM36" i="4"/>
  <c r="DK33" i="4"/>
  <c r="DI30" i="4"/>
  <c r="DG27" i="4"/>
  <c r="DF42" i="4"/>
  <c r="EF15" i="4"/>
  <c r="EB15" i="4"/>
  <c r="DX15" i="4"/>
  <c r="DT15" i="4"/>
  <c r="DP15" i="4"/>
  <c r="DL15" i="4"/>
  <c r="DH15" i="4"/>
  <c r="ED15" i="4"/>
  <c r="DZ15" i="4"/>
  <c r="DV15" i="4"/>
  <c r="DR15" i="4"/>
  <c r="DN15" i="4"/>
  <c r="DJ15" i="4"/>
  <c r="HD22" i="4"/>
  <c r="GX24" i="4"/>
  <c r="GX23" i="4"/>
  <c r="GY24" i="4" s="1"/>
  <c r="CS15" i="4"/>
  <c r="CM15" i="4"/>
  <c r="CK15" i="4"/>
  <c r="CW15" i="4"/>
  <c r="CI15" i="4"/>
  <c r="DC15" i="4"/>
  <c r="CY15" i="4"/>
  <c r="CO15" i="4"/>
  <c r="DA15" i="4"/>
  <c r="CQ15" i="4"/>
  <c r="CU15" i="4"/>
  <c r="CB24" i="4"/>
  <c r="CF15" i="4"/>
  <c r="EH15" i="4"/>
  <c r="EL21" i="4" s="1"/>
  <c r="EJ21" i="4"/>
  <c r="CD15" i="4"/>
  <c r="EG33" i="4"/>
  <c r="BZ42" i="4"/>
  <c r="CA33" i="4"/>
  <c r="EI30" i="4"/>
  <c r="CE24" i="4"/>
  <c r="CG27" i="4" s="1"/>
  <c r="CC39" i="4"/>
  <c r="AW13" i="4"/>
  <c r="AV14" i="4" s="1"/>
  <c r="AX13" i="4"/>
  <c r="AY13" i="4" s="1"/>
  <c r="AZ13" i="4" s="1"/>
  <c r="EJ27" i="4"/>
  <c r="CD36" i="4"/>
  <c r="CB30" i="4"/>
  <c r="CF21" i="4"/>
  <c r="GJ28" i="4"/>
  <c r="GJ26" i="4"/>
  <c r="GK27" i="4" s="1"/>
  <c r="GJ27" i="4"/>
  <c r="CB33" i="4"/>
  <c r="CF24" i="4"/>
  <c r="EH33" i="4"/>
  <c r="EL39" i="4" s="1"/>
  <c r="CD39" i="4"/>
  <c r="EJ30" i="4"/>
  <c r="GP24" i="4"/>
  <c r="GP23" i="4"/>
  <c r="GQ24" i="4" s="1"/>
  <c r="CR6" i="4"/>
  <c r="CL6" i="4"/>
  <c r="DB6" i="4"/>
  <c r="CN6" i="4"/>
  <c r="CX6" i="4"/>
  <c r="DD6" i="4"/>
  <c r="CZ6" i="4"/>
  <c r="CJ6" i="4"/>
  <c r="CT6" i="4"/>
  <c r="CP6" i="4"/>
  <c r="CV6" i="4"/>
  <c r="CH6" i="4"/>
  <c r="EF51" i="4"/>
  <c r="EF39" i="4"/>
  <c r="EF27" i="4"/>
  <c r="ED51" i="4"/>
  <c r="ED39" i="4"/>
  <c r="ED27" i="4"/>
  <c r="EB48" i="4"/>
  <c r="EB36" i="4"/>
  <c r="EB24" i="4"/>
  <c r="DZ42" i="4"/>
  <c r="DZ30" i="4"/>
  <c r="DX45" i="4"/>
  <c r="DX33" i="4"/>
  <c r="DX21" i="4"/>
  <c r="DV33" i="4"/>
  <c r="DV21" i="4"/>
  <c r="DT30" i="4"/>
  <c r="DR36" i="4"/>
  <c r="DR24" i="4"/>
  <c r="DP27" i="4"/>
  <c r="DN27" i="4"/>
  <c r="DL24" i="4"/>
  <c r="EF48" i="4"/>
  <c r="EF36" i="4"/>
  <c r="EF24" i="4"/>
  <c r="ED48" i="4"/>
  <c r="ED36" i="4"/>
  <c r="ED24" i="4"/>
  <c r="EB45" i="4"/>
  <c r="EB33" i="4"/>
  <c r="EB21" i="4"/>
  <c r="DZ39" i="4"/>
  <c r="DZ27" i="4"/>
  <c r="DX42" i="4"/>
  <c r="DX30" i="4"/>
  <c r="DV42" i="4"/>
  <c r="DV30" i="4"/>
  <c r="DT39" i="4"/>
  <c r="DT27" i="4"/>
  <c r="DR33" i="4"/>
  <c r="DR21" i="4"/>
  <c r="DP24" i="4"/>
  <c r="DN24" i="4"/>
  <c r="DL21" i="4"/>
  <c r="EF57" i="4"/>
  <c r="EF45" i="4"/>
  <c r="EF33" i="4"/>
  <c r="EF21" i="4"/>
  <c r="ED45" i="4"/>
  <c r="ED33" i="4"/>
  <c r="ED21" i="4"/>
  <c r="EB42" i="4"/>
  <c r="EB30" i="4"/>
  <c r="DZ48" i="4"/>
  <c r="DZ36" i="4"/>
  <c r="DZ24" i="4"/>
  <c r="DX39" i="4"/>
  <c r="DX27" i="4"/>
  <c r="DV39" i="4"/>
  <c r="DV27" i="4"/>
  <c r="DT36" i="4"/>
  <c r="DT24" i="4"/>
  <c r="DR30" i="4"/>
  <c r="DP33" i="4"/>
  <c r="DP21" i="4"/>
  <c r="DN21" i="4"/>
  <c r="DJ24" i="4"/>
  <c r="EF54" i="4"/>
  <c r="EF42" i="4"/>
  <c r="EF30" i="4"/>
  <c r="ED54" i="4"/>
  <c r="ED42" i="4"/>
  <c r="ED30" i="4"/>
  <c r="EB51" i="4"/>
  <c r="EB39" i="4"/>
  <c r="EB27" i="4"/>
  <c r="DZ45" i="4"/>
  <c r="DZ33" i="4"/>
  <c r="DZ21" i="4"/>
  <c r="DX36" i="4"/>
  <c r="DX24" i="4"/>
  <c r="DV36" i="4"/>
  <c r="DV24" i="4"/>
  <c r="DT33" i="4"/>
  <c r="DT21" i="4"/>
  <c r="DR27" i="4"/>
  <c r="DP30" i="4"/>
  <c r="DN30" i="4"/>
  <c r="DL27" i="4"/>
  <c r="DJ21" i="4"/>
  <c r="FU45" i="4"/>
  <c r="FU44" i="4"/>
  <c r="FV45" i="4" s="1"/>
  <c r="GX25" i="4"/>
  <c r="GZ25" i="4"/>
  <c r="GZ24" i="4"/>
  <c r="GZ23" i="4"/>
  <c r="HA24" i="4" s="1"/>
  <c r="CF39" i="4"/>
  <c r="CD66" i="4"/>
  <c r="DC57" i="4" l="1"/>
  <c r="CB48" i="4"/>
  <c r="CF33" i="4"/>
  <c r="CT54" i="4" s="1"/>
  <c r="CD48" i="4"/>
  <c r="EJ39" i="4"/>
  <c r="AW14" i="6"/>
  <c r="AV15" i="6" s="1"/>
  <c r="AX14" i="6"/>
  <c r="AY14" i="6" s="1"/>
  <c r="AZ14" i="6" s="1"/>
  <c r="DR51" i="4"/>
  <c r="CU45" i="4"/>
  <c r="CY51" i="4"/>
  <c r="CS42" i="4"/>
  <c r="CK30" i="4"/>
  <c r="CI27" i="4"/>
  <c r="GJ167" i="4"/>
  <c r="GJ166" i="4"/>
  <c r="GK167" i="4" s="1"/>
  <c r="GJ168" i="4"/>
  <c r="GX95" i="4"/>
  <c r="GZ93" i="4"/>
  <c r="HA94" i="4" s="1"/>
  <c r="GZ94" i="4"/>
  <c r="GZ95" i="4"/>
  <c r="GJ97" i="4"/>
  <c r="GJ96" i="4"/>
  <c r="GK97" i="4" s="1"/>
  <c r="GJ98" i="4"/>
  <c r="HF160" i="4"/>
  <c r="HG161" i="4" s="1"/>
  <c r="HF161" i="4"/>
  <c r="GX165" i="4"/>
  <c r="GZ163" i="4"/>
  <c r="HA164" i="4" s="1"/>
  <c r="GZ164" i="4"/>
  <c r="GZ165" i="4"/>
  <c r="CW48" i="4"/>
  <c r="CM33" i="4"/>
  <c r="GX93" i="4"/>
  <c r="GY94" i="4" s="1"/>
  <c r="HD92" i="4"/>
  <c r="GX94" i="4"/>
  <c r="GP163" i="4"/>
  <c r="GQ164" i="4" s="1"/>
  <c r="GP164" i="4"/>
  <c r="GL166" i="4"/>
  <c r="GM167" i="4" s="1"/>
  <c r="GL167" i="4"/>
  <c r="GR165" i="4"/>
  <c r="GL97" i="4"/>
  <c r="GR95" i="4"/>
  <c r="GL96" i="4"/>
  <c r="GM97" i="4" s="1"/>
  <c r="HF91" i="4"/>
  <c r="HF90" i="4"/>
  <c r="HG91" i="4" s="1"/>
  <c r="CQ39" i="4"/>
  <c r="CO36" i="4"/>
  <c r="GP94" i="4"/>
  <c r="GP93" i="4"/>
  <c r="GQ94" i="4" s="1"/>
  <c r="GX164" i="4"/>
  <c r="GX163" i="4"/>
  <c r="GY164" i="4" s="1"/>
  <c r="HD162" i="4"/>
  <c r="EM15" i="4"/>
  <c r="HY155" i="4"/>
  <c r="HY85" i="4"/>
  <c r="HO152" i="4"/>
  <c r="HO82" i="4"/>
  <c r="DF18" i="4"/>
  <c r="ED18" i="4" s="1"/>
  <c r="IZ114" i="4"/>
  <c r="IZ184" i="4"/>
  <c r="DE12" i="4"/>
  <c r="DI12" i="4" s="1"/>
  <c r="IT152" i="4"/>
  <c r="IT82" i="4"/>
  <c r="DF12" i="4"/>
  <c r="DV12" i="4" s="1"/>
  <c r="IT178" i="4"/>
  <c r="IT108" i="4"/>
  <c r="EI18" i="4"/>
  <c r="EJ18" i="4" s="1"/>
  <c r="HQ158" i="4"/>
  <c r="HQ88" i="4"/>
  <c r="EM21" i="4"/>
  <c r="IF161" i="4"/>
  <c r="IF91" i="4"/>
  <c r="DE18" i="4"/>
  <c r="EC18" i="4" s="1"/>
  <c r="IZ158" i="4"/>
  <c r="IZ88" i="4"/>
  <c r="DP48" i="4"/>
  <c r="EF72" i="4"/>
  <c r="DH36" i="4"/>
  <c r="DL42" i="4"/>
  <c r="EB66" i="4"/>
  <c r="DN45" i="4"/>
  <c r="ED69" i="4"/>
  <c r="DT54" i="4"/>
  <c r="DV57" i="4"/>
  <c r="DX60" i="4"/>
  <c r="DJ39" i="4"/>
  <c r="EH42" i="4"/>
  <c r="EL48" i="4" s="1"/>
  <c r="EF120" i="4"/>
  <c r="ED114" i="4"/>
  <c r="EB108" i="4"/>
  <c r="DZ102" i="4"/>
  <c r="DX96" i="4"/>
  <c r="DV90" i="4"/>
  <c r="DT84" i="4"/>
  <c r="DR78" i="4"/>
  <c r="DP72" i="4"/>
  <c r="DN66" i="4"/>
  <c r="DL60" i="4"/>
  <c r="DJ54" i="4"/>
  <c r="DH48" i="4"/>
  <c r="EF117" i="4"/>
  <c r="ED111" i="4"/>
  <c r="EB105" i="4"/>
  <c r="DZ99" i="4"/>
  <c r="DX93" i="4"/>
  <c r="DV87" i="4"/>
  <c r="DT81" i="4"/>
  <c r="DR75" i="4"/>
  <c r="DP69" i="4"/>
  <c r="DN63" i="4"/>
  <c r="DL57" i="4"/>
  <c r="DJ51" i="4"/>
  <c r="DH45" i="4"/>
  <c r="DN18" i="4"/>
  <c r="EJ24" i="4"/>
  <c r="CF18" i="4"/>
  <c r="CP18" i="4" s="1"/>
  <c r="EG24" i="4"/>
  <c r="EK30" i="4" s="1"/>
  <c r="CB27" i="4"/>
  <c r="CC12" i="4"/>
  <c r="CE12" i="4"/>
  <c r="CG12" i="4" s="1"/>
  <c r="CA21" i="4"/>
  <c r="BZ30" i="4"/>
  <c r="EG12" i="4"/>
  <c r="EH39" i="4" s="1"/>
  <c r="EL45" i="4" s="1"/>
  <c r="EH12" i="4"/>
  <c r="CB21" i="4"/>
  <c r="CD12" i="4"/>
  <c r="CF12" i="4"/>
  <c r="BL27" i="4"/>
  <c r="BL26" i="4"/>
  <c r="BT54" i="4"/>
  <c r="EI12" i="4"/>
  <c r="EJ12" i="4" s="1"/>
  <c r="EK12" i="4"/>
  <c r="EL12" i="4" s="1"/>
  <c r="EH21" i="4"/>
  <c r="EL27" i="4" s="1"/>
  <c r="BL18" i="4"/>
  <c r="BL19" i="4"/>
  <c r="EH45" i="4"/>
  <c r="EL51" i="4" s="1"/>
  <c r="EK24" i="4"/>
  <c r="CE18" i="4"/>
  <c r="CG18" i="4" s="1"/>
  <c r="BZ36" i="4"/>
  <c r="CA27" i="4"/>
  <c r="EI24" i="4"/>
  <c r="CC27" i="4"/>
  <c r="GX27" i="4"/>
  <c r="GX28" i="4"/>
  <c r="GX26" i="4"/>
  <c r="GY27" i="4" s="1"/>
  <c r="CZ63" i="4"/>
  <c r="CH36" i="4"/>
  <c r="CV57" i="4"/>
  <c r="DD69" i="4"/>
  <c r="CR51" i="4"/>
  <c r="CJ39" i="4"/>
  <c r="CH27" i="4"/>
  <c r="DD60" i="4"/>
  <c r="CZ54" i="4"/>
  <c r="CL33" i="4"/>
  <c r="CV48" i="4"/>
  <c r="CR42" i="4"/>
  <c r="DB57" i="4"/>
  <c r="CJ30" i="4"/>
  <c r="CT45" i="4"/>
  <c r="CN36" i="4"/>
  <c r="CP39" i="4"/>
  <c r="CX51" i="4"/>
  <c r="EJ48" i="4"/>
  <c r="CD69" i="4"/>
  <c r="CB51" i="4"/>
  <c r="CF42" i="4"/>
  <c r="GJ29" i="4"/>
  <c r="GK30" i="4" s="1"/>
  <c r="GJ30" i="4"/>
  <c r="DB54" i="4"/>
  <c r="CH24" i="4"/>
  <c r="CT42" i="4"/>
  <c r="CX48" i="4"/>
  <c r="CP36" i="4"/>
  <c r="CL30" i="4"/>
  <c r="CJ27" i="4"/>
  <c r="CR39" i="4"/>
  <c r="CN33" i="4"/>
  <c r="DD57" i="4"/>
  <c r="CV45" i="4"/>
  <c r="CZ51" i="4"/>
  <c r="CW51" i="4"/>
  <c r="CO39" i="4"/>
  <c r="CK33" i="4"/>
  <c r="CS45" i="4"/>
  <c r="DA57" i="4"/>
  <c r="DC60" i="4"/>
  <c r="CI30" i="4"/>
  <c r="CM36" i="4"/>
  <c r="CQ42" i="4"/>
  <c r="CY54" i="4"/>
  <c r="CU48" i="4"/>
  <c r="EK39" i="4"/>
  <c r="EH60" i="4"/>
  <c r="EL66" i="4" s="1"/>
  <c r="CN15" i="4"/>
  <c r="CX15" i="4"/>
  <c r="CJ15" i="4"/>
  <c r="DB15" i="4"/>
  <c r="CL15" i="4"/>
  <c r="CH15" i="4"/>
  <c r="DD15" i="4"/>
  <c r="CZ15" i="4"/>
  <c r="CT15" i="4"/>
  <c r="CV15" i="4"/>
  <c r="CP15" i="4"/>
  <c r="CR15" i="4"/>
  <c r="HD24" i="4"/>
  <c r="HD23" i="4"/>
  <c r="HE24" i="4" s="1"/>
  <c r="CR75" i="4"/>
  <c r="CJ51" i="4"/>
  <c r="DD111" i="4"/>
  <c r="CP69" i="4"/>
  <c r="CX93" i="4"/>
  <c r="CN63" i="4"/>
  <c r="CV87" i="4"/>
  <c r="CZ99" i="4"/>
  <c r="CH45" i="4"/>
  <c r="DB105" i="4"/>
  <c r="CT81" i="4"/>
  <c r="CL57" i="4"/>
  <c r="GZ27" i="4"/>
  <c r="GZ26" i="4"/>
  <c r="HA27" i="4" s="1"/>
  <c r="HF25" i="4"/>
  <c r="CA45" i="4"/>
  <c r="CB63" i="4" s="1"/>
  <c r="AW14" i="4"/>
  <c r="AV15" i="4" s="1"/>
  <c r="AX14" i="4"/>
  <c r="AY14" i="4" s="1"/>
  <c r="AZ14" i="4" s="1"/>
  <c r="GR26" i="4"/>
  <c r="GS27" i="4" s="1"/>
  <c r="GR27" i="4"/>
  <c r="EH48" i="4"/>
  <c r="EL54" i="4" s="1"/>
  <c r="EK27" i="4"/>
  <c r="DB66" i="4" l="1"/>
  <c r="CP48" i="4"/>
  <c r="CL42" i="4"/>
  <c r="CX60" i="4"/>
  <c r="CN45" i="4"/>
  <c r="DO12" i="4"/>
  <c r="DK12" i="4"/>
  <c r="DN12" i="4"/>
  <c r="AX15" i="6"/>
  <c r="AY15" i="6" s="1"/>
  <c r="AZ15" i="6" s="1"/>
  <c r="AW15" i="6"/>
  <c r="AV16" i="6" s="1"/>
  <c r="DS12" i="4"/>
  <c r="DV18" i="4"/>
  <c r="DW12" i="4"/>
  <c r="DH18" i="4"/>
  <c r="DR12" i="4"/>
  <c r="EF12" i="4"/>
  <c r="DH12" i="4"/>
  <c r="DZ12" i="4"/>
  <c r="DF36" i="4"/>
  <c r="BL28" i="4"/>
  <c r="DM18" i="4"/>
  <c r="DU18" i="4"/>
  <c r="EE18" i="4"/>
  <c r="DX18" i="4"/>
  <c r="DJ18" i="4"/>
  <c r="EB18" i="4"/>
  <c r="EK18" i="4"/>
  <c r="EL18" i="4" s="1"/>
  <c r="DL12" i="4"/>
  <c r="DP18" i="4"/>
  <c r="DR18" i="4"/>
  <c r="DT12" i="4"/>
  <c r="ED12" i="4"/>
  <c r="DP12" i="4"/>
  <c r="DJ12" i="4"/>
  <c r="DX12" i="4"/>
  <c r="EB12" i="4"/>
  <c r="DL18" i="4"/>
  <c r="DQ12" i="4"/>
  <c r="DY12" i="4"/>
  <c r="DM12" i="4"/>
  <c r="DU12" i="4"/>
  <c r="DG18" i="4"/>
  <c r="DO18" i="4"/>
  <c r="DW18" i="4"/>
  <c r="DK18" i="4"/>
  <c r="HD164" i="4"/>
  <c r="HD163" i="4"/>
  <c r="HE164" i="4" s="1"/>
  <c r="GR96" i="4"/>
  <c r="GS97" i="4" s="1"/>
  <c r="GR97" i="4"/>
  <c r="GX97" i="4"/>
  <c r="GX96" i="4"/>
  <c r="GY97" i="4" s="1"/>
  <c r="GX98" i="4"/>
  <c r="DY18" i="4"/>
  <c r="HD93" i="4"/>
  <c r="HE94" i="4" s="1"/>
  <c r="HD94" i="4"/>
  <c r="GX167" i="4"/>
  <c r="GX166" i="4"/>
  <c r="GY167" i="4" s="1"/>
  <c r="GX168" i="4"/>
  <c r="GJ99" i="4"/>
  <c r="GK100" i="4" s="1"/>
  <c r="GJ100" i="4"/>
  <c r="GZ97" i="4"/>
  <c r="HF95" i="4"/>
  <c r="GZ96" i="4"/>
  <c r="HA97" i="4" s="1"/>
  <c r="GJ170" i="4"/>
  <c r="GJ169" i="4"/>
  <c r="GK170" i="4" s="1"/>
  <c r="EA12" i="4"/>
  <c r="DG12" i="4"/>
  <c r="DF30" i="4"/>
  <c r="DR48" i="4" s="1"/>
  <c r="DI18" i="4"/>
  <c r="DQ18" i="4"/>
  <c r="EC12" i="4"/>
  <c r="EE12" i="4"/>
  <c r="DS18" i="4"/>
  <c r="EA18" i="4"/>
  <c r="GR167" i="4"/>
  <c r="GR166" i="4"/>
  <c r="GS167" i="4" s="1"/>
  <c r="GZ167" i="4"/>
  <c r="HF165" i="4"/>
  <c r="GZ166" i="4"/>
  <c r="HA167" i="4" s="1"/>
  <c r="EF18" i="4"/>
  <c r="DT18" i="4"/>
  <c r="DZ18" i="4"/>
  <c r="DD18" i="4"/>
  <c r="EH51" i="4"/>
  <c r="EL57" i="4" s="1"/>
  <c r="CL18" i="4"/>
  <c r="CT18" i="4"/>
  <c r="CR18" i="4"/>
  <c r="CV18" i="4"/>
  <c r="CN18" i="4"/>
  <c r="CH18" i="4"/>
  <c r="CJ18" i="4"/>
  <c r="CX18" i="4"/>
  <c r="CZ18" i="4"/>
  <c r="DB18" i="4"/>
  <c r="BL21" i="4"/>
  <c r="BL23" i="4" s="1"/>
  <c r="BL24" i="4" s="1"/>
  <c r="CN12" i="4"/>
  <c r="CR12" i="4"/>
  <c r="CV12" i="4"/>
  <c r="CT12" i="4"/>
  <c r="DD12" i="4"/>
  <c r="CX12" i="4"/>
  <c r="CP12" i="4"/>
  <c r="CL12" i="4"/>
  <c r="DB12" i="4"/>
  <c r="CJ12" i="4"/>
  <c r="CH12" i="4"/>
  <c r="CZ12" i="4"/>
  <c r="EG30" i="4"/>
  <c r="EK36" i="4" s="1"/>
  <c r="CD57" i="4"/>
  <c r="CF36" i="4"/>
  <c r="EJ42" i="4"/>
  <c r="CB45" i="4"/>
  <c r="DC12" i="4"/>
  <c r="CS12" i="4"/>
  <c r="CY12" i="4"/>
  <c r="CI12" i="4"/>
  <c r="CO12" i="4"/>
  <c r="CQ12" i="4"/>
  <c r="DA12" i="4"/>
  <c r="CU12" i="4"/>
  <c r="CW12" i="4"/>
  <c r="CM12" i="4"/>
  <c r="CK12" i="4"/>
  <c r="CW18" i="4"/>
  <c r="CY18" i="4"/>
  <c r="CO18" i="4"/>
  <c r="CM18" i="4"/>
  <c r="CI18" i="4"/>
  <c r="CQ18" i="4"/>
  <c r="DC18" i="4"/>
  <c r="CU18" i="4"/>
  <c r="DA18" i="4"/>
  <c r="CS18" i="4"/>
  <c r="CK18" i="4"/>
  <c r="BW6" i="4"/>
  <c r="G4" i="4" s="1"/>
  <c r="BW105" i="4"/>
  <c r="G37" i="4" s="1"/>
  <c r="BW120" i="4"/>
  <c r="G42" i="4" s="1"/>
  <c r="BW15" i="4"/>
  <c r="G7" i="4" s="1"/>
  <c r="BW45" i="4"/>
  <c r="G17" i="4" s="1"/>
  <c r="BW87" i="4"/>
  <c r="G31" i="4" s="1"/>
  <c r="BW132" i="4"/>
  <c r="G46" i="4" s="1"/>
  <c r="BW48" i="4"/>
  <c r="G18" i="4" s="1"/>
  <c r="BW147" i="4"/>
  <c r="G51" i="4" s="1"/>
  <c r="BW144" i="4"/>
  <c r="G50" i="4" s="1"/>
  <c r="BW21" i="4"/>
  <c r="G9" i="4" s="1"/>
  <c r="BW141" i="4"/>
  <c r="G49" i="4" s="1"/>
  <c r="BW129" i="4"/>
  <c r="G45" i="4" s="1"/>
  <c r="BW42" i="4"/>
  <c r="G16" i="4" s="1"/>
  <c r="BW54" i="4"/>
  <c r="G20" i="4" s="1"/>
  <c r="BW84" i="4"/>
  <c r="G30" i="4" s="1"/>
  <c r="BW24" i="4"/>
  <c r="G10" i="4" s="1"/>
  <c r="BW111" i="4"/>
  <c r="G39" i="4" s="1"/>
  <c r="BW27" i="4"/>
  <c r="G11" i="4" s="1"/>
  <c r="BW114" i="4"/>
  <c r="G40" i="4" s="1"/>
  <c r="BW138" i="4"/>
  <c r="G48" i="4" s="1"/>
  <c r="BW39" i="4"/>
  <c r="G15" i="4" s="1"/>
  <c r="BW78" i="4"/>
  <c r="G28" i="4" s="1"/>
  <c r="BW96" i="4"/>
  <c r="G34" i="4" s="1"/>
  <c r="BW63" i="4"/>
  <c r="G23" i="4" s="1"/>
  <c r="BW69" i="4"/>
  <c r="G25" i="4" s="1"/>
  <c r="BW3" i="4"/>
  <c r="G3" i="4" s="1"/>
  <c r="BW123" i="4"/>
  <c r="G43" i="4" s="1"/>
  <c r="BW126" i="4"/>
  <c r="G44" i="4" s="1"/>
  <c r="BW12" i="4"/>
  <c r="G6" i="4" s="1"/>
  <c r="BW99" i="4"/>
  <c r="G35" i="4" s="1"/>
  <c r="BW9" i="4"/>
  <c r="G5" i="4" s="1"/>
  <c r="BW90" i="4"/>
  <c r="G32" i="4" s="1"/>
  <c r="BW75" i="4"/>
  <c r="G27" i="4" s="1"/>
  <c r="BW108" i="4"/>
  <c r="G38" i="4" s="1"/>
  <c r="BW117" i="4"/>
  <c r="G41" i="4" s="1"/>
  <c r="BW81" i="4"/>
  <c r="G29" i="4" s="1"/>
  <c r="BW33" i="4"/>
  <c r="G13" i="4" s="1"/>
  <c r="BW72" i="4"/>
  <c r="G26" i="4" s="1"/>
  <c r="BW57" i="4"/>
  <c r="G21" i="4" s="1"/>
  <c r="BW51" i="4"/>
  <c r="G19" i="4" s="1"/>
  <c r="BW135" i="4"/>
  <c r="G47" i="4" s="1"/>
  <c r="BW102" i="4"/>
  <c r="G36" i="4" s="1"/>
  <c r="BW93" i="4"/>
  <c r="G33" i="4" s="1"/>
  <c r="BW36" i="4"/>
  <c r="G14" i="4" s="1"/>
  <c r="BW30" i="4"/>
  <c r="G12" i="4" s="1"/>
  <c r="ED72" i="4"/>
  <c r="DN48" i="4"/>
  <c r="EB69" i="4"/>
  <c r="DZ66" i="4"/>
  <c r="BW66" i="4" s="1"/>
  <c r="G24" i="4" s="1"/>
  <c r="DJ42" i="4"/>
  <c r="DX63" i="4"/>
  <c r="DV60" i="4"/>
  <c r="BW60" i="4" s="1"/>
  <c r="G22" i="4" s="1"/>
  <c r="DH39" i="4"/>
  <c r="DT57" i="4"/>
  <c r="DR54" i="4"/>
  <c r="EF75" i="4"/>
  <c r="DL45" i="4"/>
  <c r="DP51" i="4"/>
  <c r="EH24" i="4"/>
  <c r="EL30" i="4" s="1"/>
  <c r="BL29" i="4"/>
  <c r="C31" i="4" s="1"/>
  <c r="EJ36" i="4"/>
  <c r="CB39" i="4"/>
  <c r="CF30" i="4"/>
  <c r="CD45" i="4"/>
  <c r="EG27" i="4"/>
  <c r="GX29" i="4"/>
  <c r="GY30" i="4" s="1"/>
  <c r="GX30" i="4"/>
  <c r="CZ102" i="4"/>
  <c r="CL60" i="4"/>
  <c r="DD114" i="4"/>
  <c r="CR78" i="4"/>
  <c r="CX96" i="4"/>
  <c r="CN66" i="4"/>
  <c r="CT84" i="4"/>
  <c r="CH48" i="4"/>
  <c r="CJ54" i="4"/>
  <c r="CP72" i="4"/>
  <c r="DB108" i="4"/>
  <c r="CV90" i="4"/>
  <c r="HF26" i="4"/>
  <c r="HG27" i="4" s="1"/>
  <c r="HF27" i="4"/>
  <c r="AW15" i="4"/>
  <c r="AV16" i="4" s="1"/>
  <c r="AX15" i="4"/>
  <c r="AY15" i="4" s="1"/>
  <c r="AZ15" i="4" s="1"/>
  <c r="DN42" i="4" l="1"/>
  <c r="EF69" i="4"/>
  <c r="AW16" i="6"/>
  <c r="AV17" i="6" s="1"/>
  <c r="AX16" i="6"/>
  <c r="AY16" i="6" s="1"/>
  <c r="AZ16" i="6" s="1"/>
  <c r="DL39" i="4"/>
  <c r="BW18" i="4"/>
  <c r="G8" i="4" s="1"/>
  <c r="HF167" i="4"/>
  <c r="HF166" i="4"/>
  <c r="HG167" i="4" s="1"/>
  <c r="DH33" i="4"/>
  <c r="DJ36" i="4"/>
  <c r="ED66" i="4"/>
  <c r="EB63" i="4"/>
  <c r="GX99" i="4"/>
  <c r="GY100" i="4" s="1"/>
  <c r="GX100" i="4"/>
  <c r="DV54" i="4"/>
  <c r="DZ60" i="4"/>
  <c r="DX57" i="4"/>
  <c r="HF97" i="4"/>
  <c r="HF96" i="4"/>
  <c r="HG97" i="4" s="1"/>
  <c r="DP45" i="4"/>
  <c r="DT51" i="4"/>
  <c r="GX170" i="4"/>
  <c r="GX169" i="4"/>
  <c r="GY170" i="4" s="1"/>
  <c r="EH57" i="4"/>
  <c r="EL63" i="4" s="1"/>
  <c r="EH27" i="4"/>
  <c r="EL33" i="4" s="1"/>
  <c r="CL39" i="4"/>
  <c r="DD66" i="4"/>
  <c r="CX57" i="4"/>
  <c r="DB63" i="4"/>
  <c r="CJ36" i="4"/>
  <c r="CT51" i="4"/>
  <c r="CH33" i="4"/>
  <c r="CR48" i="4"/>
  <c r="CN42" i="4"/>
  <c r="CZ60" i="4"/>
  <c r="CP45" i="4"/>
  <c r="CV54" i="4"/>
  <c r="CX63" i="4"/>
  <c r="DD72" i="4"/>
  <c r="CR54" i="4"/>
  <c r="CT57" i="4"/>
  <c r="CN48" i="4"/>
  <c r="CH39" i="4"/>
  <c r="CZ66" i="4"/>
  <c r="DB69" i="4"/>
  <c r="CJ42" i="4"/>
  <c r="CP51" i="4"/>
  <c r="CV60" i="4"/>
  <c r="CL45" i="4"/>
  <c r="EH30" i="4"/>
  <c r="EL36" i="4" s="1"/>
  <c r="AW16" i="4"/>
  <c r="AV17" i="4" s="1"/>
  <c r="AX16" i="4"/>
  <c r="AY16" i="4" s="1"/>
  <c r="AZ16" i="4" s="1"/>
  <c r="EH54" i="4"/>
  <c r="EL60" i="4" s="1"/>
  <c r="EK33" i="4"/>
  <c r="AX17" i="6" l="1"/>
  <c r="AY17" i="6" s="1"/>
  <c r="AZ17" i="6" s="1"/>
  <c r="AW17" i="6"/>
  <c r="AV18" i="6" s="1"/>
  <c r="AX17" i="4"/>
  <c r="AY17" i="4" s="1"/>
  <c r="AZ17" i="4" s="1"/>
  <c r="AW17" i="4"/>
  <c r="AV18" i="4" s="1"/>
  <c r="AW18" i="6" l="1"/>
  <c r="AV19" i="6" s="1"/>
  <c r="AX18" i="6"/>
  <c r="AY18" i="6" s="1"/>
  <c r="AZ18" i="6" s="1"/>
  <c r="AW18" i="4"/>
  <c r="AV19" i="4" s="1"/>
  <c r="AX18" i="4"/>
  <c r="AY18" i="4" s="1"/>
  <c r="AZ18" i="4" s="1"/>
  <c r="AW19" i="6" l="1"/>
  <c r="AV20" i="6" s="1"/>
  <c r="AX19" i="6"/>
  <c r="AY19" i="6" s="1"/>
  <c r="AZ19" i="6" s="1"/>
  <c r="AW19" i="4"/>
  <c r="AV20" i="4" s="1"/>
  <c r="AX19" i="4"/>
  <c r="AY19" i="4" s="1"/>
  <c r="AZ19" i="4" s="1"/>
  <c r="AW20" i="6" l="1"/>
  <c r="AV21" i="6" s="1"/>
  <c r="AX20" i="6"/>
  <c r="AY20" i="6" s="1"/>
  <c r="AZ20" i="6" s="1"/>
  <c r="AW20" i="4"/>
  <c r="AV21" i="4" s="1"/>
  <c r="AX20" i="4"/>
  <c r="AY20" i="4" s="1"/>
  <c r="AZ20" i="4" s="1"/>
  <c r="AX21" i="6" l="1"/>
  <c r="AY21" i="6" s="1"/>
  <c r="AZ21" i="6" s="1"/>
  <c r="AW21" i="6"/>
  <c r="AW21" i="4"/>
  <c r="AX21" i="4"/>
  <c r="AY21" i="4" s="1"/>
  <c r="AZ2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kkr</author>
  </authors>
  <commentList>
    <comment ref="BT5" authorId="0" shapeId="0" xr:uid="{00000000-0006-0000-0000-000001000000}">
      <text>
        <r>
          <rPr>
            <b/>
            <sz val="9"/>
            <color indexed="81"/>
            <rFont val="Tahoma"/>
            <family val="2"/>
          </rPr>
          <t>1 : Fanuc</t>
        </r>
        <r>
          <rPr>
            <b/>
            <sz val="9"/>
            <color indexed="81"/>
            <rFont val="돋움"/>
            <family val="3"/>
            <charset val="129"/>
          </rPr>
          <t xml:space="preserve">
</t>
        </r>
        <r>
          <rPr>
            <b/>
            <sz val="9"/>
            <color indexed="81"/>
            <rFont val="Tahoma"/>
            <family val="2"/>
          </rPr>
          <t>2 : Sinumeric
3 : Siemens</t>
        </r>
        <r>
          <rPr>
            <sz val="9"/>
            <color indexed="81"/>
            <rFont val="Tahoma"/>
            <family val="2"/>
          </rPr>
          <t xml:space="preserve">
</t>
        </r>
      </text>
    </comment>
    <comment ref="BR6" authorId="0" shapeId="0" xr:uid="{00000000-0006-0000-0000-000002000000}">
      <text>
        <r>
          <rPr>
            <sz val="9"/>
            <color indexed="81"/>
            <rFont val="Tahoma"/>
            <family val="2"/>
          </rPr>
          <t xml:space="preserve">Radial Pass
1 : 1pass
2 : 2pass
</t>
        </r>
      </text>
    </comment>
    <comment ref="BT6" authorId="0" shapeId="0" xr:uid="{00000000-0006-0000-0000-000003000000}">
      <text>
        <r>
          <rPr>
            <b/>
            <sz val="9"/>
            <color indexed="81"/>
            <rFont val="Tahoma"/>
            <family val="2"/>
          </rPr>
          <t>10 : 1pass
20 : 2pass</t>
        </r>
        <r>
          <rPr>
            <sz val="9"/>
            <color indexed="81"/>
            <rFont val="Tahoma"/>
            <family val="2"/>
          </rPr>
          <t xml:space="preserve">
</t>
        </r>
      </text>
    </comment>
    <comment ref="BT7" authorId="0" shapeId="0" xr:uid="{00000000-0006-0000-0000-000004000000}">
      <text>
        <r>
          <rPr>
            <sz val="9"/>
            <color indexed="81"/>
            <rFont val="돋움"/>
            <family val="3"/>
            <charset val="129"/>
          </rPr>
          <t>축방향</t>
        </r>
        <r>
          <rPr>
            <sz val="9"/>
            <color indexed="81"/>
            <rFont val="Tahoma"/>
            <family val="2"/>
          </rPr>
          <t xml:space="preserve"> pass
0 : 1pass
100 : 2pass</t>
        </r>
        <r>
          <rPr>
            <sz val="9"/>
            <color indexed="81"/>
            <rFont val="돋움"/>
            <family val="3"/>
            <charset val="129"/>
          </rPr>
          <t>이상</t>
        </r>
        <r>
          <rPr>
            <sz val="9"/>
            <color indexed="81"/>
            <rFont val="Tahoma"/>
            <family val="2"/>
          </rPr>
          <t xml:space="preserve">
</t>
        </r>
      </text>
    </comment>
    <comment ref="BT9" authorId="0" shapeId="0" xr:uid="{00000000-0006-0000-0000-000005000000}">
      <text>
        <r>
          <rPr>
            <sz val="9"/>
            <color indexed="81"/>
            <rFont val="Tahoma"/>
            <family val="2"/>
          </rPr>
          <t xml:space="preserve">0 : O.D. STR.
10000 : O.D. Taper (NPT, NPTF)
</t>
        </r>
      </text>
    </comment>
    <comment ref="BT10" authorId="0" shapeId="0" xr:uid="{00000000-0006-0000-0000-000006000000}">
      <text>
        <r>
          <rPr>
            <b/>
            <sz val="9"/>
            <color indexed="81"/>
            <rFont val="Tahoma"/>
            <family val="2"/>
          </rPr>
          <t>0 : Thread Milling only
100000 : Thread Milling + Chamfering
200000 : Thread Milling + Drilling + Chamfering</t>
        </r>
      </text>
    </comment>
    <comment ref="BT11" authorId="0" shapeId="0" xr:uid="{00000000-0006-0000-0000-000007000000}">
      <text>
        <r>
          <rPr>
            <b/>
            <sz val="9"/>
            <color indexed="81"/>
            <rFont val="Tahoma"/>
            <family val="2"/>
          </rPr>
          <t xml:space="preserve">0 : </t>
        </r>
        <r>
          <rPr>
            <b/>
            <sz val="9"/>
            <color indexed="81"/>
            <rFont val="돋움"/>
            <family val="3"/>
            <charset val="129"/>
          </rPr>
          <t>수직</t>
        </r>
        <r>
          <rPr>
            <b/>
            <sz val="9"/>
            <color indexed="81"/>
            <rFont val="Tahoma"/>
            <family val="2"/>
          </rPr>
          <t>MCT</t>
        </r>
        <r>
          <rPr>
            <b/>
            <sz val="9"/>
            <color indexed="81"/>
            <rFont val="돋움"/>
            <family val="3"/>
            <charset val="129"/>
          </rPr>
          <t>에서</t>
        </r>
        <r>
          <rPr>
            <b/>
            <sz val="9"/>
            <color indexed="81"/>
            <rFont val="Tahoma"/>
            <family val="2"/>
          </rPr>
          <t xml:space="preserve"> </t>
        </r>
        <r>
          <rPr>
            <b/>
            <sz val="9"/>
            <color indexed="81"/>
            <rFont val="돋움"/>
            <family val="3"/>
            <charset val="129"/>
          </rPr>
          <t>암나사가공</t>
        </r>
        <r>
          <rPr>
            <sz val="9"/>
            <color indexed="81"/>
            <rFont val="Tahoma"/>
            <family val="2"/>
          </rPr>
          <t xml:space="preserve">
1000000 : </t>
        </r>
        <r>
          <rPr>
            <sz val="9"/>
            <color indexed="81"/>
            <rFont val="돋움"/>
            <family val="3"/>
            <charset val="129"/>
          </rPr>
          <t>선반에서</t>
        </r>
        <r>
          <rPr>
            <sz val="9"/>
            <color indexed="81"/>
            <rFont val="Tahoma"/>
            <family val="2"/>
          </rPr>
          <t xml:space="preserve"> </t>
        </r>
        <r>
          <rPr>
            <sz val="9"/>
            <color indexed="81"/>
            <rFont val="돋움"/>
            <family val="3"/>
            <charset val="129"/>
          </rPr>
          <t>암나사가공</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kkr</author>
  </authors>
  <commentList>
    <comment ref="BT5" authorId="0" shapeId="0" xr:uid="{00000000-0006-0000-0100-000001000000}">
      <text>
        <r>
          <rPr>
            <b/>
            <sz val="9"/>
            <color indexed="81"/>
            <rFont val="Tahoma"/>
            <family val="2"/>
          </rPr>
          <t xml:space="preserve">1 : </t>
        </r>
        <r>
          <rPr>
            <b/>
            <sz val="9"/>
            <color indexed="81"/>
            <rFont val="돋움"/>
            <family val="3"/>
            <charset val="129"/>
          </rPr>
          <t xml:space="preserve">화낙
</t>
        </r>
        <r>
          <rPr>
            <b/>
            <sz val="9"/>
            <color indexed="81"/>
            <rFont val="Tahoma"/>
            <family val="2"/>
          </rPr>
          <t xml:space="preserve">2 : </t>
        </r>
        <r>
          <rPr>
            <b/>
            <sz val="9"/>
            <color indexed="81"/>
            <rFont val="돋움"/>
            <family val="3"/>
            <charset val="129"/>
          </rPr>
          <t>하이덴하인</t>
        </r>
        <r>
          <rPr>
            <sz val="9"/>
            <color indexed="81"/>
            <rFont val="Tahoma"/>
            <family val="2"/>
          </rPr>
          <t xml:space="preserve">
</t>
        </r>
      </text>
    </comment>
    <comment ref="BR6" authorId="0" shapeId="0" xr:uid="{00000000-0006-0000-0100-000002000000}">
      <text>
        <r>
          <rPr>
            <sz val="9"/>
            <color indexed="81"/>
            <rFont val="Tahoma"/>
            <family val="2"/>
          </rPr>
          <t xml:space="preserve">Radial Pass
1 : 1pass
2 : 2pass
</t>
        </r>
      </text>
    </comment>
    <comment ref="BT6" authorId="0" shapeId="0" xr:uid="{00000000-0006-0000-0100-000003000000}">
      <text>
        <r>
          <rPr>
            <b/>
            <sz val="9"/>
            <color indexed="81"/>
            <rFont val="Tahoma"/>
            <family val="2"/>
          </rPr>
          <t>10 : 1pass
20 : 2pass</t>
        </r>
        <r>
          <rPr>
            <sz val="9"/>
            <color indexed="81"/>
            <rFont val="Tahoma"/>
            <family val="2"/>
          </rPr>
          <t xml:space="preserve">
</t>
        </r>
      </text>
    </comment>
    <comment ref="BT7" authorId="0" shapeId="0" xr:uid="{00000000-0006-0000-0100-000004000000}">
      <text>
        <r>
          <rPr>
            <sz val="9"/>
            <color indexed="81"/>
            <rFont val="돋움"/>
            <family val="3"/>
            <charset val="129"/>
          </rPr>
          <t>축방향</t>
        </r>
        <r>
          <rPr>
            <sz val="9"/>
            <color indexed="81"/>
            <rFont val="Tahoma"/>
            <family val="2"/>
          </rPr>
          <t xml:space="preserve"> pass
0 : 1pass
100 : 2pass</t>
        </r>
        <r>
          <rPr>
            <sz val="9"/>
            <color indexed="81"/>
            <rFont val="돋움"/>
            <family val="3"/>
            <charset val="129"/>
          </rPr>
          <t>이상</t>
        </r>
        <r>
          <rPr>
            <sz val="9"/>
            <color indexed="81"/>
            <rFont val="Tahoma"/>
            <family val="2"/>
          </rPr>
          <t xml:space="preserve">
</t>
        </r>
      </text>
    </comment>
    <comment ref="BT9" authorId="0" shapeId="0" xr:uid="{00000000-0006-0000-0100-000005000000}">
      <text>
        <r>
          <rPr>
            <sz val="9"/>
            <color indexed="81"/>
            <rFont val="Tahoma"/>
            <family val="2"/>
          </rPr>
          <t xml:space="preserve">0 : O.D. STR.
10000 : O.D. Taper (NPT, NPTF)
</t>
        </r>
      </text>
    </comment>
    <comment ref="BT10" authorId="0" shapeId="0" xr:uid="{00000000-0006-0000-0100-000006000000}">
      <text>
        <r>
          <rPr>
            <b/>
            <sz val="9"/>
            <color indexed="81"/>
            <rFont val="Tahoma"/>
            <family val="2"/>
          </rPr>
          <t>0 : Thread Milling only
100000 : Thread Milling + Chamfering
200000 : Thread Milling + Drilling + Chamfering</t>
        </r>
      </text>
    </comment>
    <comment ref="BT11" authorId="0" shapeId="0" xr:uid="{00000000-0006-0000-0100-000007000000}">
      <text>
        <r>
          <rPr>
            <b/>
            <sz val="9"/>
            <color indexed="81"/>
            <rFont val="Tahoma"/>
            <family val="2"/>
          </rPr>
          <t xml:space="preserve">0 : </t>
        </r>
        <r>
          <rPr>
            <b/>
            <sz val="9"/>
            <color indexed="81"/>
            <rFont val="돋움"/>
            <family val="3"/>
            <charset val="129"/>
          </rPr>
          <t>수직</t>
        </r>
        <r>
          <rPr>
            <b/>
            <sz val="9"/>
            <color indexed="81"/>
            <rFont val="Tahoma"/>
            <family val="2"/>
          </rPr>
          <t>MCT</t>
        </r>
        <r>
          <rPr>
            <b/>
            <sz val="9"/>
            <color indexed="81"/>
            <rFont val="돋움"/>
            <family val="3"/>
            <charset val="129"/>
          </rPr>
          <t>에서</t>
        </r>
        <r>
          <rPr>
            <b/>
            <sz val="9"/>
            <color indexed="81"/>
            <rFont val="Tahoma"/>
            <family val="2"/>
          </rPr>
          <t xml:space="preserve"> </t>
        </r>
        <r>
          <rPr>
            <b/>
            <sz val="9"/>
            <color indexed="81"/>
            <rFont val="돋움"/>
            <family val="3"/>
            <charset val="129"/>
          </rPr>
          <t>암나사가공</t>
        </r>
        <r>
          <rPr>
            <sz val="9"/>
            <color indexed="81"/>
            <rFont val="Tahoma"/>
            <family val="2"/>
          </rPr>
          <t xml:space="preserve">
1000000 : </t>
        </r>
        <r>
          <rPr>
            <sz val="9"/>
            <color indexed="81"/>
            <rFont val="돋움"/>
            <family val="3"/>
            <charset val="129"/>
          </rPr>
          <t>선반에서</t>
        </r>
        <r>
          <rPr>
            <sz val="9"/>
            <color indexed="81"/>
            <rFont val="Tahoma"/>
            <family val="2"/>
          </rPr>
          <t xml:space="preserve"> </t>
        </r>
        <r>
          <rPr>
            <sz val="9"/>
            <color indexed="81"/>
            <rFont val="돋움"/>
            <family val="3"/>
            <charset val="129"/>
          </rPr>
          <t>암나사가공</t>
        </r>
      </text>
    </comment>
  </commentList>
</comments>
</file>

<file path=xl/sharedStrings.xml><?xml version="1.0" encoding="utf-8"?>
<sst xmlns="http://schemas.openxmlformats.org/spreadsheetml/2006/main" count="4346" uniqueCount="2001">
  <si>
    <t>Медь, высокопрочная бронза, &lt; 1500 Н/мм2</t>
  </si>
  <si>
    <t>Алюминий, беспримесный</t>
  </si>
  <si>
    <t>Алюминий, сплавной, &lt; 0,5% Si</t>
  </si>
  <si>
    <t>Алюминий, сплавной, &lt; 10% Si</t>
  </si>
  <si>
    <t>Алюминий, сплавной, &gt; 10% Si</t>
  </si>
  <si>
    <t>Инконель 718</t>
  </si>
  <si>
    <t>Графит</t>
  </si>
  <si>
    <t>D = диаметр резьбы (мм)</t>
  </si>
  <si>
    <t>P = шаг (мм)</t>
  </si>
  <si>
    <t>d = диаметр резака (мм)</t>
  </si>
  <si>
    <t>l = длина режущего края (мм)</t>
  </si>
  <si>
    <t>z = количество бороздок</t>
  </si>
  <si>
    <t>V = скорость резки (м/мин.)</t>
  </si>
  <si>
    <t>Fz = подача/зубец (мм/зубец)</t>
  </si>
  <si>
    <t>CNC program for Mazakj</t>
  </si>
  <si>
    <t>Gjengefresing</t>
  </si>
  <si>
    <t>Les før bruk</t>
  </si>
  <si>
    <t>Программа ЧПУ для Mitsubishi</t>
  </si>
  <si>
    <t>FD = avance em Øda rosca (mm/min)</t>
  </si>
  <si>
    <t>Fd = avance centro da fresa (mm/min)</t>
  </si>
  <si>
    <t>Żeliwo, Żeliwo sferoidalne,Ciągliwe &lt; 1000 N/mm2</t>
  </si>
  <si>
    <t>Stal Nierdzewna,Automatowa</t>
  </si>
  <si>
    <t>Stal Nierdzewna, Austenityczna</t>
  </si>
  <si>
    <t>Stal , niskostopowa, &lt; 850 N/mm2</t>
  </si>
  <si>
    <t>Stal ,wysokostopowa,&lt; 1200 N/mm2</t>
  </si>
  <si>
    <t>Stal, utwardzona, &lt; 45 HRC</t>
  </si>
  <si>
    <t>Stal, utwardzona, &lt; 55 HRC</t>
  </si>
  <si>
    <t>Stal, utwardzona, &lt; 65 HRC</t>
  </si>
  <si>
    <t>Żeliwo, Żeliwo Szare,&lt; 500 N/mm2</t>
  </si>
  <si>
    <t>Żeliwo, Żeliwo Szare,&lt; 1000 N/mm2</t>
  </si>
  <si>
    <t>Żeliwo, Żeliwo sferoidalne,Ciągliwe &lt; 700 N/mm2</t>
  </si>
  <si>
    <t>Miedź,Brąz dużej wytrzymałości  , &lt; 1500 N/mm2</t>
  </si>
  <si>
    <t>프로그램 사용 방법</t>
    <phoneticPr fontId="4"/>
  </si>
  <si>
    <t>S=minimalna odległość od czoła narzędzia do czoła detalu(mm)</t>
  </si>
  <si>
    <t>d=Średnica narzędzia</t>
  </si>
  <si>
    <t>l=długość krawędzi roboczej</t>
  </si>
  <si>
    <t>z=ilość ostrzy</t>
  </si>
  <si>
    <t>V=prędkość skrawania(m/min)</t>
  </si>
  <si>
    <t>Fz=posów na ząb (mm/ząb)</t>
  </si>
  <si>
    <t>Fd = avanzamento al centro della fresa (mm/min)</t>
  </si>
  <si>
    <t>T = tempo di esecuzione del filetto(secondi)</t>
  </si>
  <si>
    <t>Programma CNC per Fanuc</t>
  </si>
  <si>
    <t>Programma CNC per Siemens</t>
  </si>
  <si>
    <t>Numero di passate, radiali (max 3)</t>
  </si>
  <si>
    <t>1PASS</t>
    <phoneticPr fontId="4"/>
  </si>
  <si>
    <t>Chamfering</t>
    <phoneticPr fontId="4"/>
  </si>
  <si>
    <t>Drilling</t>
    <phoneticPr fontId="4"/>
  </si>
  <si>
    <t>T</t>
    <phoneticPr fontId="4"/>
  </si>
  <si>
    <t>Numero di  passate, assiali</t>
  </si>
  <si>
    <t>N = Rotazione mandrino (rpm)</t>
  </si>
  <si>
    <t xml:space="preserve">Ilość skoków(przejść), katowo (max 3) </t>
  </si>
  <si>
    <t>Ilość skoków(przejść) , osiowo</t>
  </si>
  <si>
    <t>N= obroty wrzeciona (obr/min)</t>
  </si>
  <si>
    <t>FD=posów w średnicy gwintu (mm/min)</t>
  </si>
  <si>
    <t>Fd=posów w osi gwintu (mm/min)</t>
  </si>
  <si>
    <t>T=Czas potrzebny do wyfrezowania gwintu (sekundy)</t>
  </si>
  <si>
    <t xml:space="preserve"> Program CNC dla Fanuca</t>
  </si>
  <si>
    <t xml:space="preserve"> Program CNC dla Siemensa</t>
  </si>
  <si>
    <t xml:space="preserve"> Program CNC dla Num</t>
  </si>
  <si>
    <t>Acier inoxydable,ferretique et austenique</t>
  </si>
  <si>
    <t>Titanium, pur</t>
  </si>
  <si>
    <t>Titanium allié, &lt; 900 N/mm2</t>
  </si>
  <si>
    <t>Titanium, allié, &lt; 1250 N/mm2</t>
  </si>
  <si>
    <t>Acier refractaire, Nickel pur &lt; 500 N/mm2</t>
  </si>
  <si>
    <t>Acier refractaire, Nickel Chrome allié &lt; 900 N/mm2</t>
  </si>
  <si>
    <t xml:space="preserve">If you are using a tool which is not in the list then you can enter cutter diameter, length of cutting edge and number of flutes in square. </t>
    <phoneticPr fontId="4"/>
  </si>
  <si>
    <t>Wenn das verwendete Werkzeug nicht in der Liste aufgeführt ist, können Sie selbst Fräser-Durchmesser, Schneidelänge des Fräsers und Anzahl Schneiden in den Kästchen.</t>
    <phoneticPr fontId="4"/>
  </si>
  <si>
    <t xml:space="preserve">만일 목록에 없는 툴을 사용한다면, 공구 직경, 절삭날 길이 그리고 절삭날의 숫자를  사각형 칸에 입력할 수 있습니다. </t>
    <phoneticPr fontId="4"/>
  </si>
  <si>
    <t>G - Whitworth putkikierre</t>
  </si>
  <si>
    <t>M - Metrinen</t>
  </si>
  <si>
    <t>UN - Kierre</t>
  </si>
  <si>
    <t>BSPT - kartioputkikierre</t>
  </si>
  <si>
    <t>NPT - kartioputkikierre</t>
  </si>
  <si>
    <t>NPTF - dryseal, kartioputkikierre</t>
  </si>
  <si>
    <t>NPSF - putkikierre</t>
  </si>
  <si>
    <t>PG - Panssariputkikierre</t>
  </si>
  <si>
    <t>M - Metryczne</t>
  </si>
  <si>
    <t>UN - Zunifikowany</t>
  </si>
  <si>
    <t xml:space="preserve">G - Gwint do rur Whitworth'a </t>
  </si>
  <si>
    <t>BSPT - Stożkowy gwint do rur</t>
  </si>
  <si>
    <t>NPT - Stożkowy gwint do rur</t>
  </si>
  <si>
    <t>CNC programm Heidenhain</t>
  </si>
  <si>
    <t>CNC program for Heidenhain</t>
  </si>
  <si>
    <t>programa CNC para Heidenhain</t>
  </si>
  <si>
    <t>CNC programme pour Heidnehain</t>
  </si>
  <si>
    <t>Programma CNC per Heidenhain</t>
  </si>
  <si>
    <t>CNC programma voor Heidenhain</t>
  </si>
  <si>
    <t xml:space="preserve"> Program CNC dla Heidenhaina</t>
  </si>
  <si>
    <t>CNC programa para Heidenhain</t>
  </si>
  <si>
    <t>CNC ohjelma Haidenhainille</t>
  </si>
  <si>
    <t>CNC program för Heidenhain</t>
  </si>
  <si>
    <t>Программа ЧПУ для Heidenhain</t>
  </si>
  <si>
    <t>Program CNC pentru Heidenhain</t>
  </si>
  <si>
    <t>Heidenhain</t>
  </si>
  <si>
    <t>Nikkel, ulegert, &lt;500N/mm2</t>
  </si>
  <si>
    <t>Nikkel, legert, &lt;900N/mm2</t>
  </si>
  <si>
    <t>Nikkel, legert, &lt;1250N/mm2</t>
  </si>
  <si>
    <t>Kobber, ulegert, &lt;350N/mm2</t>
  </si>
  <si>
    <t>Kobber, messing, bronse, &lt;700N/mm2</t>
  </si>
  <si>
    <t>Kobber, bronse, høy bruddstyrke, &lt;1500N/mm2</t>
  </si>
  <si>
    <t>Aluminium, ulegert</t>
  </si>
  <si>
    <t>Aluminium, legert, &lt;0,5% Si</t>
  </si>
  <si>
    <t>Aluminium, legert, &lt;10%Si</t>
  </si>
  <si>
    <t>Aluminium, legert, &gt;10%Si</t>
  </si>
  <si>
    <t>Grafitt</t>
  </si>
  <si>
    <t>D = gjengens diameter</t>
  </si>
  <si>
    <t xml:space="preserve">P = stigning (mm) </t>
  </si>
  <si>
    <t>L = gjengens lengde (mm)</t>
  </si>
  <si>
    <t>S = sikkerhetsavstand (mm)</t>
  </si>
  <si>
    <t>d = fresens skjærdiameter (mm)</t>
  </si>
  <si>
    <t>l = fresens skjærlengde (mm)</t>
  </si>
  <si>
    <t>z = antall skjær</t>
  </si>
  <si>
    <t>V = skjærhastighet (m/min)</t>
  </si>
  <si>
    <t>Fz = mating/tand (mm/tand)</t>
  </si>
  <si>
    <t>antall kutt, radielt (max 3)</t>
  </si>
  <si>
    <t>antall kutt aksielt</t>
  </si>
  <si>
    <t>N = o/min</t>
  </si>
  <si>
    <t>FD = mating ved gjengens Ø (mm/min)</t>
  </si>
  <si>
    <t>Fd = mating in fresens senter ( mm/min)</t>
  </si>
  <si>
    <t>Støpejern, &lt;1000N/mm2</t>
  </si>
  <si>
    <t>Rustfritt stål, austenittisk</t>
  </si>
  <si>
    <t>한국어</t>
  </si>
  <si>
    <t>The program don´t accept your choice.</t>
  </si>
  <si>
    <t>Please, test with other values.</t>
  </si>
  <si>
    <t>CNC Programm für Mitsubishi</t>
  </si>
  <si>
    <t>Gewindefräsen</t>
  </si>
  <si>
    <t>Fresado de roscas</t>
  </si>
  <si>
    <t>11, 1 pass Fanuc</t>
  </si>
  <si>
    <t>PG - Panzerrohrgewinde</t>
  </si>
  <si>
    <t>Titanium, legeret, &lt; 900 N/mm2</t>
  </si>
  <si>
    <t>Titanium, legeret, &lt; 1250 N/mm2</t>
  </si>
  <si>
    <t>Nikkel, ulegeret, &lt; 700 N/mm2</t>
  </si>
  <si>
    <t>Nikkel, legeret, &lt; 900 N/mm2</t>
  </si>
  <si>
    <t>Hierro fundido, graf. esfer., maleable, &lt;700 N/mm2</t>
  </si>
  <si>
    <t>Hierro fundido, graf. esfer., maleable, &lt;1000 N/mm2</t>
  </si>
  <si>
    <t>Werkzeug-Kompensation</t>
  </si>
  <si>
    <t>S = Sicherheitsabstand (mm)</t>
  </si>
  <si>
    <t>l = Schneidelänge des Fräsers (mm)</t>
  </si>
  <si>
    <t>Please read before use!</t>
  </si>
  <si>
    <t>Microfräsar</t>
  </si>
  <si>
    <t>Wie man dieses Programm verwendet</t>
  </si>
  <si>
    <t>Nickel, Alloyed, &lt; 900 N/mm2</t>
  </si>
  <si>
    <t>CNC program for Fanuc</t>
  </si>
  <si>
    <t>M-Metrisk</t>
  </si>
  <si>
    <t>BSPT - konisk rørgevind</t>
  </si>
  <si>
    <t>NPT - Konisk rørgevind</t>
  </si>
  <si>
    <t>Choose a language furthest down on the right side and make your choices in the drop downs and fill in the first four squares. By filling in sufficient information the program will present a recommended range of milling cutters. When you have chosen one of the cutters, information will be shown about the cutter including recommended cutting data and the time to produce the thread. The complete CNC program will also be shown. The CNC program can be copied and pasted into your CNC file. The other seven squares shall only be completed if you do not accept the recommended.</t>
    <phoneticPr fontId="4"/>
  </si>
  <si>
    <t>Wählen Sie zuerst Sprache auf der rechten Seite ganz unten und danach die gewünschten Alternativen in den Pulldown-Menüs und füllen Sie die vier ersten Kästchen ein. Mit Hilfe dieser Information zeigt das Programm im letzten Pulldown-Menü Vorschläge von geeigneten Werkzeugen. Nachdem Sie ein Werkzeug gewählt haben, erhalten Sie vom Programm Information über das Werkzeug, empfohlene Schnittdaten und die erforderliche Zeit, um das Gewinde zu schneiden. Außerdem wird das CNC-Programm gezeigt. Dies kann herauskopiert und in Ihre CNC-Datei eingefügt werden. Die übrigen sieben Kästchen werden nur eingefüllt, falls Sie die Vorschläge nicht akzeptieren.</t>
    <phoneticPr fontId="4"/>
  </si>
  <si>
    <t>NPTF - dryseal - konisk rørgevind</t>
  </si>
  <si>
    <t>NPSF - rørgevind</t>
  </si>
  <si>
    <t>PG - Panserrørgevind</t>
  </si>
  <si>
    <t>TM</t>
    <phoneticPr fontId="28" type="noConversion"/>
  </si>
  <si>
    <t xml:space="preserve">type </t>
    <phoneticPr fontId="4"/>
  </si>
  <si>
    <t>O.D. STR.</t>
    <phoneticPr fontId="4"/>
  </si>
  <si>
    <r>
      <t>2</t>
    </r>
    <r>
      <rPr>
        <b/>
        <sz val="9"/>
        <rFont val="돋움"/>
        <family val="3"/>
        <charset val="129"/>
      </rPr>
      <t>산제품</t>
    </r>
    <phoneticPr fontId="4"/>
  </si>
  <si>
    <t>경고!</t>
    <phoneticPr fontId="4"/>
  </si>
  <si>
    <t>Warnung!</t>
  </si>
  <si>
    <t>V = Schnittgeschwindigkeit (m/min)</t>
  </si>
  <si>
    <t>M - Metrisk</t>
  </si>
  <si>
    <t>Русский</t>
  </si>
  <si>
    <t>CNC program for Siemens</t>
  </si>
  <si>
    <t xml:space="preserve"> M3</t>
    <phoneticPr fontId="4"/>
  </si>
  <si>
    <t>N = Toerental spindel (rpm)</t>
  </si>
  <si>
    <t>FD = voeding aan de draaddiameter diameter (mm/min)</t>
  </si>
  <si>
    <t>Fd = voeding in het centrum v/d frees (mm/min)</t>
  </si>
  <si>
    <t>T = tijd om de draad te frezen (seconden)</t>
  </si>
  <si>
    <t>CNC programma voor Fanuc</t>
  </si>
  <si>
    <t>CNC programma voor Siemens</t>
  </si>
  <si>
    <t>CNC programma voor Num</t>
  </si>
  <si>
    <t>CNC programma voor Fagor</t>
  </si>
  <si>
    <t>CNC programma voorMazak</t>
  </si>
  <si>
    <t>CNC programma voor Mitsubishi</t>
  </si>
  <si>
    <t>Draadfrezen</t>
  </si>
  <si>
    <t>Ghisa,  lamellare e grafitica, &lt; 1000 N/mm3</t>
  </si>
  <si>
    <t>Ghisa, nodulare e malleabile, &lt; 700 N/mm3</t>
  </si>
  <si>
    <t xml:space="preserve"> G00</t>
    <phoneticPr fontId="4"/>
  </si>
  <si>
    <t xml:space="preserve"> G57</t>
    <phoneticPr fontId="4"/>
  </si>
  <si>
    <t>G43</t>
    <phoneticPr fontId="4"/>
  </si>
  <si>
    <t xml:space="preserve"> H10</t>
    <phoneticPr fontId="4"/>
  </si>
  <si>
    <t xml:space="preserve"> S</t>
    <phoneticPr fontId="4"/>
  </si>
  <si>
    <t>G91</t>
    <phoneticPr fontId="4"/>
  </si>
  <si>
    <t xml:space="preserve"> Z</t>
    <phoneticPr fontId="4"/>
  </si>
  <si>
    <t>Ghisa, nodulare e malleabile, &lt; 1000 N/mm3</t>
  </si>
  <si>
    <t>Titânio, não alegado, &lt; 700 N/mm2</t>
  </si>
  <si>
    <t>Titânio, alegado, &lt; 900 N/mm2</t>
  </si>
  <si>
    <t>Titânio, alegado,&lt; 1250 N/mm2</t>
  </si>
  <si>
    <t>Níquel, não alegado, &lt; 500 N/mm2</t>
  </si>
  <si>
    <t>Níquel, alegado, &lt; 900 N/mm2</t>
  </si>
  <si>
    <t>Níquel, alegado, &lt; 1250 N/mm2</t>
  </si>
  <si>
    <t>Cobre, não alegado, &lt; 350 N/mm2</t>
  </si>
  <si>
    <t>Cobre, lata, bronze, &lt; 700 N/mm2</t>
  </si>
  <si>
    <t>Cobre, bronze de alta resistência, &lt; 1500 N/mm2</t>
  </si>
  <si>
    <t>Alumínio, não alegado</t>
  </si>
  <si>
    <t>Acciai temperati , &lt; 65 HRC</t>
  </si>
  <si>
    <t>Titanio legato, &lt; 900 N/mm3</t>
  </si>
  <si>
    <t>Titanio legato, &lt; 1250 N/mm3</t>
  </si>
  <si>
    <t>Staal, gehard, &lt; 65 HRC</t>
  </si>
  <si>
    <t>Fz = avansul / dinte (mm/dinte)</t>
  </si>
  <si>
    <t>Numarul de treceri radiale</t>
  </si>
  <si>
    <t xml:space="preserve">Numarul de treceri axiale </t>
  </si>
  <si>
    <t>N = turatia (axul principal rpm)</t>
  </si>
  <si>
    <t xml:space="preserve">FD = avans - la diam.filetului (mm/min) </t>
  </si>
  <si>
    <t>Fd = avans la centrul frezei (mm/min)</t>
  </si>
  <si>
    <t>CNC programa para Siemens</t>
  </si>
  <si>
    <t>CNC programa para Num</t>
  </si>
  <si>
    <t>CNC programa para Fagor</t>
  </si>
  <si>
    <t>CNC programa para Mazak</t>
  </si>
  <si>
    <t>CNC programa para Mitsubishi</t>
  </si>
  <si>
    <t>Fresa de rosca</t>
  </si>
  <si>
    <t>Leia antes de usar</t>
  </si>
  <si>
    <t>Программа ЧПУ для Fagor</t>
  </si>
  <si>
    <t>Программа ЧПУ для Mazak</t>
  </si>
  <si>
    <t>Aluminium, gelegeerd, &gt; 10% Si</t>
  </si>
  <si>
    <t>Grafiet</t>
  </si>
  <si>
    <t>D = draad diameter (mm)</t>
  </si>
  <si>
    <t>P = spoed (mm)</t>
  </si>
  <si>
    <t>Русский (ryska)</t>
  </si>
  <si>
    <t>Titanium, gelegeerd, &lt; 1250 N/mm2</t>
  </si>
  <si>
    <t>Nikkel, ongelegeerd, &lt; 500 N/mm2</t>
  </si>
  <si>
    <t>Nikkel, gelegeerd, &lt; 900 N/mm2</t>
  </si>
  <si>
    <t>Nikkel, gelegeerd, &lt; 1250 N/mm2</t>
  </si>
  <si>
    <t>Koper, ongelegeerd, &lt; 350 N/mm2</t>
  </si>
  <si>
    <t>Koper, Brons, &lt; 700 N/mm2</t>
  </si>
  <si>
    <t>Koper, extra sterk Brons, &lt; 1500 N/mm2</t>
  </si>
  <si>
    <t>Aluminium, ongelegeerd</t>
  </si>
  <si>
    <t>Aluminium, gelegeerd, &lt; 0.5% Si</t>
  </si>
  <si>
    <t>Aluminium, gelegeerd, &lt; 10% Si</t>
  </si>
  <si>
    <t>Ferro fundido, lamina de grafite &lt; 1000 N/mm2</t>
  </si>
  <si>
    <t>Ferro fundido, graf. Esfer., maleável, &lt; 700 N/mm2</t>
  </si>
  <si>
    <t>Ferro fundido, graf. Esfer., maleável,&lt; 1000 N/mm2</t>
  </si>
  <si>
    <t>Inoxidável, fácil de mecanizar</t>
  </si>
  <si>
    <t>Inoxidável, austenitico</t>
  </si>
  <si>
    <t>Inoxidável, ferritico e austenitico</t>
  </si>
  <si>
    <t>Titan, legiert, &lt; 1250 N/mm2</t>
  </si>
  <si>
    <t>Grafito</t>
  </si>
  <si>
    <t>Aluminium, olegerat</t>
  </si>
  <si>
    <t>Aluminium, legerat, &lt; 0.5% Si</t>
  </si>
  <si>
    <t>l = fræserens skærekantslængde (mm)</t>
  </si>
  <si>
    <t>z = antal skær</t>
  </si>
  <si>
    <t>V = skærehastighed (m/min)</t>
  </si>
  <si>
    <t>Fz = tilspænding/tand (mm/tand)</t>
  </si>
  <si>
    <t>antal overløb, radialt (max. 3)</t>
  </si>
  <si>
    <t xml:space="preserve">antal overløb, axialt </t>
  </si>
  <si>
    <t>N = omdrejninger, spindel (omdr./min.)</t>
  </si>
  <si>
    <t>FD = tilspænding, gevind diameter</t>
  </si>
  <si>
    <t>Fd = tilspænding, v/center af fræser</t>
  </si>
  <si>
    <t>T = Indgrebstid (sekunder)</t>
  </si>
  <si>
    <t>CNC program til Fanuc</t>
  </si>
  <si>
    <t>CNC program til Siemens</t>
  </si>
  <si>
    <t>CNC program til Num</t>
  </si>
  <si>
    <t>CNC program til Fagor</t>
  </si>
  <si>
    <t>CNC program til Mazak</t>
  </si>
  <si>
    <t>CNC program til Mitsubishi</t>
  </si>
  <si>
    <t>Gevindfræsning</t>
  </si>
  <si>
    <t>Læs før anvendelse!</t>
  </si>
  <si>
    <t>.</t>
  </si>
  <si>
    <t>M - Metric</t>
  </si>
  <si>
    <t>Anzahl Durchgänge, axial</t>
  </si>
  <si>
    <t>Teras, Kesksüsinik, &lt; 0,55% C, &lt; 700 N/mm3</t>
  </si>
  <si>
    <t>Teras, Kõrgesüsinik, &lt; 0,85% C, &lt; 850 N/mm3</t>
  </si>
  <si>
    <t>Teras, Madallegeeritud sulam, &lt; 850 N/mm3</t>
  </si>
  <si>
    <t>Bohren, Fasen und Gewindefräsen</t>
    <phoneticPr fontId="4"/>
  </si>
  <si>
    <t>드릴링 + 챔퍼링 + 쓰레드밀링(나사가공)</t>
    <phoneticPr fontId="4"/>
  </si>
  <si>
    <t>Teras, Kõrglegeeritud sulam, &lt; 1200 N/mm3</t>
  </si>
  <si>
    <t>Teras, Karastatud, &lt; 45 HRC</t>
  </si>
  <si>
    <t>Titaan, Mittelegeeritud, &lt; 700 N/mm3</t>
  </si>
  <si>
    <t>Indvendig gevindfræsning i Maskincenter</t>
  </si>
  <si>
    <t>Indvendig gevindfræsning m/drevne værktøjer</t>
  </si>
  <si>
    <t>Stahl, gerhärtet, &lt; 65 HRC</t>
  </si>
  <si>
    <t>Stål, m/middel kulindhold, &lt; 0,55% C, &lt; 700 N/mm2</t>
  </si>
  <si>
    <t>Keerme freesimine</t>
  </si>
  <si>
    <t>Stål, m/høj kulindhold, &lt; 0,85% C, &lt; 850N/mm2</t>
  </si>
  <si>
    <t>Stål, lavt legeret, &lt; 850 N/mm2</t>
  </si>
  <si>
    <t>Stål, højt legeret, &lt; 1200 N/mm2</t>
  </si>
  <si>
    <t>Gewindefräsen und Fasen</t>
    <phoneticPr fontId="4"/>
  </si>
  <si>
    <t>쓰레드밀링(나사가공) + 챔퍼링</t>
    <phoneticPr fontId="4"/>
  </si>
  <si>
    <t>ねじ切り</t>
    <phoneticPr fontId="4"/>
  </si>
  <si>
    <t>銑牙刀</t>
    <phoneticPr fontId="4"/>
  </si>
  <si>
    <t>Drilling, Chamfering and Thread Milling</t>
    <phoneticPr fontId="4"/>
  </si>
  <si>
    <t>Stål, m/lav kulindhold, &lt; 0,25% C, &lt; 400 N/mm2</t>
  </si>
  <si>
    <t>CNC Programm für Mazak</t>
  </si>
  <si>
    <t>Ruostumaton, austeettinen</t>
  </si>
  <si>
    <t>Ruostumaton, ferriittinen</t>
  </si>
  <si>
    <t>Teräs, karkaistu, &lt; 45 HRC</t>
  </si>
  <si>
    <t>Teräs, karkaistu, &lt; 55 HRC</t>
  </si>
  <si>
    <t>Teräs, karkaistu, &lt; 65 HRC</t>
  </si>
  <si>
    <t>Valurauta harmaa, &lt; 500 N/mm2</t>
  </si>
  <si>
    <t>Valurauta harmaa, &lt; 1000 N/mm2</t>
  </si>
  <si>
    <t>Valurauta adusoitu, &lt; 700 N/mm2</t>
  </si>
  <si>
    <t>Valurauta adusoitu, &lt; 1000 N/mm2</t>
  </si>
  <si>
    <t>l = Leikkuusärmänpituus (mm)</t>
  </si>
  <si>
    <t>z = Leikkuiden määrä</t>
  </si>
  <si>
    <t>V = Lastuamisnopeus (m/min)</t>
  </si>
  <si>
    <t>Fz = Hammassyöttö (mm/z)</t>
  </si>
  <si>
    <t>Lastujen määrä, radiaali (max 3)</t>
  </si>
  <si>
    <t>N = karan kierrokset (varv/min)</t>
  </si>
  <si>
    <t>FD = syöttö kierteen halkaisiassa (mm/min)</t>
  </si>
  <si>
    <t>Fd = syöttö jyrsimen keskiössä (mm/min)</t>
  </si>
  <si>
    <t>T = työstöaika  sekunneissa</t>
  </si>
  <si>
    <t>돌아감</t>
    <phoneticPr fontId="4"/>
  </si>
  <si>
    <t>(THAI)</t>
  </si>
  <si>
    <t>Titaani, seostettu, &lt; 1250 N/mm2</t>
  </si>
  <si>
    <t>Nikkeli, ei seostettu, &lt; 500 N/mm2</t>
  </si>
  <si>
    <t>Nikkeli, seostettu, &lt; 900 N/mm2</t>
  </si>
  <si>
    <t>Nikkeli, seostettu, &lt; 1250 N/mm2</t>
  </si>
  <si>
    <t>Kupari, ei seostettu, &lt; 350 N/mm2</t>
  </si>
  <si>
    <t>Kupari, messinki, pronssi, &lt; 700 N/mm2</t>
  </si>
  <si>
    <t>Kupari, pronssi korkea murtolujuus, &lt; 1500 N/mm2</t>
  </si>
  <si>
    <t>Alumiini, seostettu, &lt; 0.5% Si</t>
  </si>
  <si>
    <t>Alumiini, seostettu, &lt; 10% Si</t>
  </si>
  <si>
    <t>Alumiini, seostettu, &gt; 10% Si</t>
  </si>
  <si>
    <t>P = Nousu (mm)</t>
  </si>
  <si>
    <t>FD = avanzamento al diametro di filettatura (mm/min)</t>
  </si>
  <si>
    <t>Programma CNC per Num</t>
  </si>
  <si>
    <t>Lastujen määrä, axiaali</t>
  </si>
  <si>
    <t>Teräs, matala hiili, &lt; 0,25% C, &lt; 400 N/mm2</t>
  </si>
  <si>
    <t>Teräs, normaali hiili, &lt; 0,55% C, &lt; 700 N/mm2</t>
  </si>
  <si>
    <t>Teräs, korkea hiili, &lt; 0,85% C, &lt; 850 N/mm2</t>
  </si>
  <si>
    <t>Teräs, matala seos, &lt; 850 N/mm2</t>
  </si>
  <si>
    <t>Teräs, korkea seos, &lt; 1200 N/mm2</t>
  </si>
  <si>
    <t>Titaani, ei seostettu, &lt; 700 N/mm2</t>
  </si>
  <si>
    <t>Titaani, seostettu, &lt; 900 N/mm2</t>
  </si>
  <si>
    <t>D = Kierteen halkaisia (mm)</t>
  </si>
  <si>
    <t>P = nousu (TPI)</t>
  </si>
  <si>
    <t>L = Kierteen pituus (mm)</t>
  </si>
  <si>
    <t>S = Turvaetäisyys (mm)</t>
  </si>
  <si>
    <t>d = Jyrsimen halkaisia (mm)</t>
  </si>
  <si>
    <t>TMC</t>
    <phoneticPr fontId="28" type="noConversion"/>
  </si>
  <si>
    <t>DTMC</t>
    <phoneticPr fontId="28" type="noConversion"/>
  </si>
  <si>
    <t>Kobber, Messing, Bronze, &lt; 700N/mm2</t>
  </si>
  <si>
    <t>Kobber, Bronze, høj brudstyrke, &lt; 1500 N/mm2</t>
  </si>
  <si>
    <t>Aluminium, ulegeret</t>
  </si>
  <si>
    <t>Aluminium, legeret, &lt; 0,5% Si</t>
  </si>
  <si>
    <t>Aluminium, legeret, &lt; 10% Si</t>
  </si>
  <si>
    <t>D = gevind diameter (mm)</t>
  </si>
  <si>
    <t>P = Stigning (TPI)</t>
  </si>
  <si>
    <t>L = gevind længde (mm)</t>
  </si>
  <si>
    <t>S.v.p. lezen voor gebruik</t>
  </si>
  <si>
    <t>S = Sikkerhedsafstand (mm)</t>
  </si>
  <si>
    <t>S = ohutus vahe (mm)</t>
  </si>
  <si>
    <t>d = freesi diameeter (mm)</t>
  </si>
  <si>
    <t>l = lõikeserva pikkus (mm)</t>
  </si>
  <si>
    <t>z = laastusoonte arv</t>
  </si>
  <si>
    <t>V = lõikekiirus (m/min)</t>
  </si>
  <si>
    <t>Alluminio legato, &lt; 0.5% Si</t>
  </si>
  <si>
    <t>Alluminio legato, &lt; 10% Si</t>
  </si>
  <si>
    <t>Alluminio legato, &gt; 10% Si</t>
  </si>
  <si>
    <t>Inconel 719</t>
  </si>
  <si>
    <t>Grafite</t>
  </si>
  <si>
    <t>D = diametro filettatura (mm)</t>
  </si>
  <si>
    <t>P = passo (mm)</t>
  </si>
  <si>
    <t>P = passo TPI (filetti per pollice)</t>
  </si>
  <si>
    <t>L =lunghezza filettatura (mm)</t>
  </si>
  <si>
    <t>S = distanza di sicurezza (mm)</t>
  </si>
  <si>
    <t>d = diametro fresa (mm)</t>
  </si>
  <si>
    <t>l = lunghezza tagliente (mm)</t>
  </si>
  <si>
    <t>Gietijzer, Lamellair grafiet, &lt; 500 N/mm2</t>
  </si>
  <si>
    <t>Ghisa, lamellare e grafitica, &lt; 500 N/mm3</t>
  </si>
  <si>
    <t>P = keermesamm (mm)</t>
  </si>
  <si>
    <t>P = keermesamm (TPI)</t>
  </si>
  <si>
    <t>L = keerme pikkus (mm)</t>
  </si>
  <si>
    <t>Nichel non legato, &lt; 500 N/mm3</t>
  </si>
  <si>
    <t>Nichel legato, &lt; 900 N/mm3</t>
  </si>
  <si>
    <t>Nichel legato, &lt; 1250 N/mm3</t>
  </si>
  <si>
    <t>Acciaio inossidabile di buona lavorabilità</t>
  </si>
  <si>
    <t>Acciaio inossidabile austenitico</t>
  </si>
  <si>
    <t>Rame non legato, &lt; 350 N/mm3</t>
  </si>
  <si>
    <t>Rame, ottone, bronzo, &lt; 700 N/mm3</t>
  </si>
  <si>
    <t>Rame, ottone molto legato, &lt; 1500 N/mm3</t>
  </si>
  <si>
    <t>Alluminio non legato</t>
  </si>
  <si>
    <t>Acciaio inossidabile ferritico ed austenitico</t>
  </si>
  <si>
    <t>Titanio non legato, &lt; 700 N/mm3</t>
  </si>
  <si>
    <t>Staal,koolstofstaal, &lt; 0,85% C, &lt; 850 N/mm2</t>
  </si>
  <si>
    <t>Staal, gelegeerd, &lt; 850 N/mm2</t>
  </si>
  <si>
    <t>Staal, hooggelegeerd, &lt; 1200 N/mm2</t>
  </si>
  <si>
    <t>P = tipo de rosca (mm)</t>
  </si>
  <si>
    <t>장비</t>
    <phoneticPr fontId="4"/>
  </si>
  <si>
    <t>테이퍼나사</t>
    <phoneticPr fontId="4"/>
  </si>
  <si>
    <r>
      <t xml:space="preserve">Pass, </t>
    </r>
    <r>
      <rPr>
        <b/>
        <sz val="9"/>
        <rFont val="돋움"/>
        <family val="3"/>
        <charset val="129"/>
      </rPr>
      <t>축방향</t>
    </r>
    <phoneticPr fontId="4"/>
  </si>
  <si>
    <r>
      <t>Pass</t>
    </r>
    <r>
      <rPr>
        <b/>
        <sz val="9"/>
        <rFont val="돋움"/>
        <family val="3"/>
        <charset val="129"/>
      </rPr>
      <t>수</t>
    </r>
    <phoneticPr fontId="4"/>
  </si>
  <si>
    <t>컨트롤러</t>
    <phoneticPr fontId="4"/>
  </si>
  <si>
    <r>
      <t>한국어</t>
    </r>
    <r>
      <rPr>
        <b/>
        <sz val="10"/>
        <rFont val="Verdana"/>
        <family val="2"/>
      </rPr>
      <t xml:space="preserve"> (KOREANSKA)</t>
    </r>
  </si>
  <si>
    <t>Пожалуйста, прочитайте перед использованием!</t>
  </si>
  <si>
    <t>UN – унифицированный</t>
  </si>
  <si>
    <t>G – трубная резьба Витворта</t>
  </si>
  <si>
    <t>BSPT – коническая трубная резьба</t>
  </si>
  <si>
    <t>NPT –  коническая трубная резьба</t>
  </si>
  <si>
    <t>Программа ЧПУ для Fanuc</t>
  </si>
  <si>
    <t>Программа ЧПУ для Siemens</t>
  </si>
  <si>
    <t>Программа ЧПУ для Num</t>
  </si>
  <si>
    <t>G - Whitworth rørgevind</t>
  </si>
  <si>
    <t>G - Whitworth-Rohrgewinde</t>
  </si>
  <si>
    <t>G - Whitworth torukeere</t>
  </si>
  <si>
    <t>G - Whitworth Pipe Thread</t>
  </si>
  <si>
    <t>G - Whitworth, rosca de tubo</t>
  </si>
  <si>
    <t>G - Whitworth pijpdraad</t>
  </si>
  <si>
    <t>G - Whitworth rosca para canos</t>
  </si>
  <si>
    <t>G - Filet pentru tevi Whitworth</t>
  </si>
  <si>
    <t>Нержавеющая сталь, хорошая обрабатываемость</t>
  </si>
  <si>
    <t>Внутреннее резьбофрезерование в многоцелевом станке</t>
  </si>
  <si>
    <t>Внутреннее резьбофрезерование в токарном станке</t>
  </si>
  <si>
    <t>М – метрический</t>
  </si>
  <si>
    <t>NPTF - Drobnozwojowy, gwint do rur</t>
  </si>
  <si>
    <t>NPSP - Gwint do rur</t>
  </si>
  <si>
    <t>PG - Gwint do rurek instalacyjnych</t>
  </si>
  <si>
    <t>Stål , lavlegert, &lt;850N/mm2</t>
  </si>
  <si>
    <t>Нержавеющая сталь, аустенитная</t>
  </si>
  <si>
    <t>Нержавеющая сталь, ферритная и аустенитная</t>
  </si>
  <si>
    <t>Титан, беспримесный, &lt; 700 Н/мм2</t>
  </si>
  <si>
    <t>Титан, сплавной, &lt; 900 Н/мм2</t>
  </si>
  <si>
    <t>Титан, сплавной, &lt; 1250 Н/мм2</t>
  </si>
  <si>
    <t>Никель, беспримесный, &lt; 500 Н/мм2</t>
  </si>
  <si>
    <t>Никель, сплавной, &lt; 900 Н/мм2</t>
  </si>
  <si>
    <t>Никель, сплавной, &lt; 1250 Н/мм2</t>
  </si>
  <si>
    <t>Медь, беспримесная, &lt; 350 Н/мм2</t>
  </si>
  <si>
    <t>P = шаг (витков на дюйм)</t>
  </si>
  <si>
    <t>L = длина резьбы (мм)</t>
  </si>
  <si>
    <t>S = безопасное расстояние (мм)</t>
  </si>
  <si>
    <t>Rustfritt stål, ferrittisk</t>
  </si>
  <si>
    <t>Titan, ulegert, &lt;700N/mm2</t>
  </si>
  <si>
    <t>Titan, legert, &lt;900N/mm2</t>
  </si>
  <si>
    <t>Titan, legert, &lt;1250N/mm2</t>
  </si>
  <si>
    <r>
      <t>Ls = drilling depth</t>
    </r>
    <r>
      <rPr>
        <sz val="9"/>
        <rFont val="돋움"/>
        <family val="3"/>
        <charset val="129"/>
      </rPr>
      <t xml:space="preserve"> (mm)</t>
    </r>
    <phoneticPr fontId="4"/>
  </si>
  <si>
    <r>
      <t>ds = chamfering diameter</t>
    </r>
    <r>
      <rPr>
        <sz val="9"/>
        <rFont val="돋움"/>
        <family val="3"/>
        <charset val="129"/>
      </rPr>
      <t xml:space="preserve"> (mm)</t>
    </r>
    <phoneticPr fontId="4"/>
  </si>
  <si>
    <r>
      <t>ds = Fasen-Durchmesser</t>
    </r>
    <r>
      <rPr>
        <sz val="9"/>
        <rFont val="돋움"/>
        <family val="3"/>
        <charset val="129"/>
      </rPr>
      <t xml:space="preserve"> (mm)</t>
    </r>
    <phoneticPr fontId="4"/>
  </si>
  <si>
    <r>
      <t>Ls = Bohrtiefe</t>
    </r>
    <r>
      <rPr>
        <sz val="9"/>
        <rFont val="돋움"/>
        <family val="3"/>
        <charset val="129"/>
      </rPr>
      <t xml:space="preserve"> (mm)</t>
    </r>
    <phoneticPr fontId="4"/>
  </si>
  <si>
    <r>
      <t xml:space="preserve">ds = </t>
    </r>
    <r>
      <rPr>
        <sz val="9"/>
        <rFont val="돋움"/>
        <family val="3"/>
        <charset val="129"/>
      </rPr>
      <t>챔퍼</t>
    </r>
    <r>
      <rPr>
        <sz val="9"/>
        <rFont val="Verdana"/>
        <family val="2"/>
      </rPr>
      <t xml:space="preserve"> </t>
    </r>
    <r>
      <rPr>
        <sz val="9"/>
        <rFont val="돋움"/>
        <family val="3"/>
        <charset val="129"/>
      </rPr>
      <t>크기 (mm)</t>
    </r>
    <phoneticPr fontId="4"/>
  </si>
  <si>
    <r>
      <t xml:space="preserve">Ls = </t>
    </r>
    <r>
      <rPr>
        <sz val="9"/>
        <rFont val="돋움"/>
        <family val="3"/>
        <charset val="129"/>
      </rPr>
      <t>드릴링</t>
    </r>
    <r>
      <rPr>
        <sz val="9"/>
        <rFont val="Verdana"/>
        <family val="2"/>
      </rPr>
      <t xml:space="preserve"> </t>
    </r>
    <r>
      <rPr>
        <sz val="9"/>
        <rFont val="돋움"/>
        <family val="3"/>
        <charset val="129"/>
      </rPr>
      <t>깊이 (mm)</t>
    </r>
    <phoneticPr fontId="4"/>
  </si>
  <si>
    <t>Fdr(d&lt;8)</t>
    <phoneticPr fontId="4"/>
  </si>
  <si>
    <t>Fdr(d&gt;8)</t>
    <phoneticPr fontId="4"/>
  </si>
  <si>
    <t>Fdr</t>
    <phoneticPr fontId="4"/>
  </si>
  <si>
    <t>Drill &amp; Chamfer</t>
    <phoneticPr fontId="4"/>
  </si>
  <si>
    <t>Fz = avance/lábio (mm/dente)</t>
  </si>
  <si>
    <t>T = tid for å frese gjengen ( sekunder)</t>
  </si>
  <si>
    <t>CNC program for fanuc</t>
  </si>
  <si>
    <t>Støpejern, seigjern, aducergods, &lt;700N/mm2</t>
  </si>
  <si>
    <t>CNC program til Heidenhain</t>
  </si>
  <si>
    <t>CNC Programm für Heidenhain</t>
  </si>
  <si>
    <t>Støpejern, seigjern, aducergods, &lt;1000N/mm2</t>
  </si>
  <si>
    <t>Rustfritt automatstål</t>
  </si>
  <si>
    <t>The mentioned cutting data are only recommended starting values.              There are many things that can affect so it will be necessary to make adjustments, for example, machine stability, tooling equipment etc.                YG-1 does not take any responsibility for damages that can occur when using the CNC program or cutting data recommended by the software.</t>
    <phoneticPr fontId="4"/>
  </si>
  <si>
    <t>Result list</t>
    <phoneticPr fontId="4"/>
  </si>
  <si>
    <t>Bild</t>
    <phoneticPr fontId="4"/>
  </si>
  <si>
    <t>100011, 1, 2 pass Fanuc, Chamfering</t>
    <phoneticPr fontId="4"/>
  </si>
  <si>
    <t>110011, 1, 2 pass Fanuc, Taper, Chamfering</t>
    <phoneticPr fontId="4"/>
  </si>
  <si>
    <t xml:space="preserve"> G01</t>
    <phoneticPr fontId="4"/>
  </si>
  <si>
    <t>G90</t>
    <phoneticPr fontId="4"/>
  </si>
  <si>
    <t xml:space="preserve"> G41</t>
    <phoneticPr fontId="4"/>
  </si>
  <si>
    <t xml:space="preserve">Die angegebenen Schneidedaten sind nur empfohlene Startwerde. Es sind viele Faktoren, die Justierungen erforderlich machen können, z.B. die          Stabilität der Maschine, die Werkzeugausrüstung etc. YG-1 haftet nicht für Schäden die entstehen können, wenn das CNC-Programm oder die Schneidedaten der Software verwendet werden. </t>
    <phoneticPr fontId="4"/>
  </si>
  <si>
    <t>Ferro fundido, lamina de grafite, &lt; 500 N/mm2</t>
  </si>
  <si>
    <t>PG - Panserrørgjenge</t>
  </si>
  <si>
    <t>Сталь, закаленная, &lt; 65 HRC (твёрдость по шкале С Роквелла)</t>
  </si>
  <si>
    <t>Чугун, пластинчатый графит, &lt; 500 Н/мм2</t>
  </si>
  <si>
    <t>Чугун, пластинчатый графит, &lt; 1000 Н/мм2</t>
  </si>
  <si>
    <t>Чугун, сфероидальный графит, ковкий, &lt; 700 Н/мм2</t>
  </si>
  <si>
    <t>Чугун, сфероидальный графит, ковкий, &lt; 1000 Н/мм2</t>
  </si>
  <si>
    <t>NPTF – сухая, коническая трубная резьба</t>
  </si>
  <si>
    <t>NPSF – трубная резьба</t>
  </si>
  <si>
    <t>PG – резьба из армированного материала</t>
  </si>
  <si>
    <t>Сталь, низкоуглеродистая, &lt; 0,25% С, &lt; 400 Н/мм2</t>
  </si>
  <si>
    <t>Сталь, высокоуглеродистая, &lt; 0,85% С, &lt; 850 Н/мм2</t>
  </si>
  <si>
    <t>Сталь, низколегированный сплав, &lt; 850 Н/мм2</t>
  </si>
  <si>
    <t>Сталь, высоколегированный сплав, &lt; 1200 Н/мм2</t>
  </si>
  <si>
    <t>Сталь, закаленная, &lt; 45 HRC (твёрдость по шкале С Роквелла)</t>
  </si>
  <si>
    <t>Сталь, закаленная, &lt; 55 HRC (твёрдость по шкале С Роквелла)</t>
  </si>
  <si>
    <t>Количество прогонов, радиальных (макс. 3)</t>
  </si>
  <si>
    <t>Количество прогонов, осевых</t>
  </si>
  <si>
    <t>N = скорость вращения шпинделя (об./мин.)</t>
  </si>
  <si>
    <t>FD = подача при диаметре резьбы (мм/мин.)</t>
  </si>
  <si>
    <t>Fd = подача в центре фрезы (мм/мин.)</t>
  </si>
  <si>
    <r>
      <t xml:space="preserve">P = </t>
    </r>
    <r>
      <rPr>
        <sz val="9"/>
        <rFont val="돋움"/>
        <family val="3"/>
      </rPr>
      <t>피치</t>
    </r>
    <r>
      <rPr>
        <sz val="9"/>
        <rFont val="Verdana"/>
        <family val="2"/>
      </rPr>
      <t xml:space="preserve"> (mm)</t>
    </r>
  </si>
  <si>
    <r>
      <t xml:space="preserve">P = </t>
    </r>
    <r>
      <rPr>
        <sz val="9"/>
        <rFont val="돋움"/>
        <family val="3"/>
      </rPr>
      <t>피치</t>
    </r>
    <r>
      <rPr>
        <sz val="9"/>
        <rFont val="Verdana"/>
        <family val="2"/>
      </rPr>
      <t xml:space="preserve"> (TPI)</t>
    </r>
  </si>
  <si>
    <t>Резьбофрезерование</t>
  </si>
  <si>
    <t>Numero de passadas, radial (max 3)</t>
  </si>
  <si>
    <t>Numero de passadas, axial</t>
  </si>
  <si>
    <t>N = Velocidade de giro (v/min)</t>
  </si>
  <si>
    <t>T = tempo para fresar a rosca (segundos)</t>
  </si>
  <si>
    <t>CNC programa para Fanuc</t>
  </si>
  <si>
    <t>Alumínio, alegado, &lt; 0.5% Si</t>
  </si>
  <si>
    <t>Alumínio, alegado, &lt; 10% Si</t>
  </si>
  <si>
    <t>Alumínio, alegado &gt; 10% Si</t>
  </si>
  <si>
    <t>D = diâmetro da rosca (mm)</t>
  </si>
  <si>
    <t>z = quantidade de lábios</t>
  </si>
  <si>
    <t>V = velocidade de corte (m/min)</t>
  </si>
  <si>
    <t>Сталь, среднеуглеродистая, &lt; 0,55% С, &lt; 700 Н/мм2</t>
  </si>
  <si>
    <t>T = время фрезерования резьбы (секунд)</t>
  </si>
  <si>
    <t>P = gangen (TPI)</t>
  </si>
  <si>
    <t>L = draadlengte (mm)</t>
  </si>
  <si>
    <t>S = veilige afstand (mm)</t>
  </si>
  <si>
    <t>d = frees diameter (mm)</t>
  </si>
  <si>
    <t xml:space="preserve">NPSF - rosca para canos </t>
  </si>
  <si>
    <t>l = lengte van de snijkant(mm)</t>
  </si>
  <si>
    <t>z = aantal tanden</t>
  </si>
  <si>
    <t>V = snijsnelheid (m/min)</t>
  </si>
  <si>
    <t>Fz = voeding/tand (mm/tand)</t>
  </si>
  <si>
    <t>Aantal stappen, radiaal (max 3)</t>
  </si>
  <si>
    <t>Aantal stappen, axiaal</t>
  </si>
  <si>
    <t>Aço, carbono baixo , &lt; 0,25% C, &lt; 400 N/mm2</t>
  </si>
  <si>
    <t>Aço, carbono médio, &lt; 0,55% C, &lt; 700 N/mm2</t>
  </si>
  <si>
    <t>G - Whitworth rörgänga</t>
  </si>
  <si>
    <t>Innvendig gjengefresing i fresemaskin</t>
  </si>
  <si>
    <t>Innvendig gjengefresing i dreiebenk med drevne verktøy</t>
  </si>
  <si>
    <t>G - Whitworth rorgjenge</t>
  </si>
  <si>
    <t>BSPT - konisk rørgjenge</t>
  </si>
  <si>
    <t>NPT - konisk rørgjenge</t>
  </si>
  <si>
    <t>NPTF - dryseal, konisk rørgjenge</t>
  </si>
  <si>
    <t>NPSF - rørgjenge</t>
  </si>
  <si>
    <t>Stål &lt;0,25%C, &lt;400N/mm2</t>
  </si>
  <si>
    <t>Stål, &lt;0,55%C, &lt;700N/mm2</t>
  </si>
  <si>
    <t>Stål, &lt;0,85%C, &lt;850N/mm2</t>
  </si>
  <si>
    <t>Aço, carbono alto, &lt; 0,85% C, &lt; 850 N/mm2</t>
  </si>
  <si>
    <t>Aço, alegado baixo,  &lt; 850 N/mm2</t>
  </si>
  <si>
    <t>Stål, høylegert, &lt;1200N/mm2</t>
  </si>
  <si>
    <t>Stål, herdet, &lt;45HRC</t>
  </si>
  <si>
    <t>Stål, herdet, &lt; 55HRC</t>
  </si>
  <si>
    <t>Aço, alegado alto,  &lt; 1200 N/mm2</t>
  </si>
  <si>
    <t>Stål, herdet, &lt; 65HRC</t>
  </si>
  <si>
    <t>Støpejern, &lt;500N/mm2</t>
  </si>
  <si>
    <t>Aço, templado, &lt; 45 HRC</t>
  </si>
  <si>
    <t>Aço, templado, &lt; 55 HRC</t>
  </si>
  <si>
    <t>Aluminiu Aliat ; &lt; 10% Si</t>
  </si>
  <si>
    <t>Aluminiu Aliat ; &gt; 10% Si</t>
  </si>
  <si>
    <t>INCONEL 718</t>
  </si>
  <si>
    <t>D = diametrul filetului (mm)</t>
  </si>
  <si>
    <t>P = pasul (mm)</t>
  </si>
  <si>
    <t>Cupru, Alama, Bronz ; &lt; 700 N/mm2</t>
  </si>
  <si>
    <t>Cupru, Bronz Dur ; &lt; 1500 N/mm2</t>
  </si>
  <si>
    <t xml:space="preserve">Aluminiu Nealiat </t>
  </si>
  <si>
    <t>Otel Inoxidabil ; Austenitic</t>
  </si>
  <si>
    <t>Otel Inoxidabil ; Feritic si Austenitic</t>
  </si>
  <si>
    <t>Titan , Nealiat ; &lt; 700 N/mm2</t>
  </si>
  <si>
    <t>P = pasul (TPI)</t>
  </si>
  <si>
    <t>L = lungimea filetului (mm)</t>
  </si>
  <si>
    <t>Ruostumaton, automaattiteräs</t>
  </si>
  <si>
    <t>CNC program for Mitsubishi</t>
  </si>
  <si>
    <t>Programnr.</t>
  </si>
  <si>
    <t>Titan , Aliat ; &lt; 900 N/mm2</t>
  </si>
  <si>
    <t>Titan , Aliat ; &lt; 1250 N/mm2</t>
  </si>
  <si>
    <t>Nichel , Nealiat ; &lt; 500 N/mm2</t>
  </si>
  <si>
    <t>Nichel , Aliat ; &lt; 900 N/mm2</t>
  </si>
  <si>
    <t>V = viteza de taiere (m/min)</t>
  </si>
  <si>
    <t>Titanium, Alloyed, &lt; 900 N/mm2</t>
  </si>
  <si>
    <t>Stainless steel, Free Machining</t>
  </si>
  <si>
    <t>Siemens</t>
  </si>
  <si>
    <t>Num</t>
  </si>
  <si>
    <t>Fagor</t>
  </si>
  <si>
    <t>Mazak</t>
  </si>
  <si>
    <t>Titanium, Unalloyed, &lt; 700 N/mm2</t>
  </si>
  <si>
    <t>CNC program for Mazak</t>
  </si>
  <si>
    <t>Titanio, aleado, &lt; 900 N/mm2</t>
  </si>
  <si>
    <t>Titanio, aleado, &lt; 1250 N/mm2</t>
  </si>
  <si>
    <t>Níquel, aleado, &lt; 1250 N/mm2</t>
  </si>
  <si>
    <t>Mitsubishi</t>
  </si>
  <si>
    <t>UN - Unified</t>
  </si>
  <si>
    <t>V</t>
  </si>
  <si>
    <t>Fz</t>
  </si>
  <si>
    <t>PG - Pansarrörsgänga</t>
  </si>
  <si>
    <t>Steel, Hardened, &lt; 65 HRC</t>
  </si>
  <si>
    <t>D = gängans diameter (mm)</t>
  </si>
  <si>
    <t>L= longueur de filetage (mm)</t>
  </si>
  <si>
    <t>S= distance de sécurité (mm)</t>
  </si>
  <si>
    <t>d = diamètre de la fraise</t>
  </si>
  <si>
    <t>l =  longueur de coupe</t>
  </si>
  <si>
    <t>z= nombre de dents</t>
  </si>
  <si>
    <t>V= vitesse de coupe (m/min)</t>
  </si>
  <si>
    <t>Fz = avance /dent (mm/dent)</t>
  </si>
  <si>
    <t>Nombre de passages, radial (max 3)</t>
  </si>
  <si>
    <t>Nombre de passages, axial</t>
  </si>
  <si>
    <t>N = vitesse de broche (rpm)</t>
  </si>
  <si>
    <t>FD= avance au diamètre de filetage</t>
  </si>
  <si>
    <t>中文繁體 (kinesiska, traditionell)</t>
  </si>
  <si>
    <t>sisäpuolinen kierrejyrsintä työstökeskuksessa</t>
  </si>
  <si>
    <t>sisäpuolinen kierrejyrsintä sorvissa pyörivillä työkaluilla</t>
  </si>
  <si>
    <t>Alumiini, ei seostettu</t>
  </si>
  <si>
    <t>Cuivre, pur, &lt; 350 N/mm2</t>
  </si>
  <si>
    <t>Cuivre, Laiton, Bronze, &lt; 700 N/mm2</t>
  </si>
  <si>
    <t>Fd= avance au centre de la fraise (mm/min)</t>
  </si>
  <si>
    <t>Inconelli 718</t>
  </si>
  <si>
    <t>Grafiitti</t>
  </si>
  <si>
    <t>CNC programme pour Num</t>
  </si>
  <si>
    <t>CNC programme pour Fagor</t>
  </si>
  <si>
    <t>CNC programme pour Mazak</t>
  </si>
  <si>
    <t>CNC programme pour Mitsubishi</t>
  </si>
  <si>
    <t>Fraisage de Filetage</t>
  </si>
  <si>
    <t>Merci de lire avant utilisation !</t>
  </si>
  <si>
    <t>Fonta , Grafit Nodular ; Maleabila ; &lt; 700 N/mm2</t>
  </si>
  <si>
    <t>Fonta , Grafit Nodular ; Maleabila ; &lt; 1000 N/mm2</t>
  </si>
  <si>
    <t xml:space="preserve">Otel Inoxidabil ; Prelucrabil </t>
  </si>
  <si>
    <t>Fz(d&lt;8)</t>
    <phoneticPr fontId="4"/>
  </si>
  <si>
    <t>Fz(d&gt;8)</t>
    <phoneticPr fontId="4"/>
  </si>
  <si>
    <t>Invändig gängfräsning i fräsmaskin</t>
  </si>
  <si>
    <t>Leer antes de usar</t>
  </si>
  <si>
    <t>Läs innan användning</t>
  </si>
  <si>
    <t>Inoxidable, fácil de mecanizar</t>
  </si>
  <si>
    <t>Inoxidable, austenítico</t>
  </si>
  <si>
    <t>programa CNC para Mazak</t>
  </si>
  <si>
    <t>Cast iron, Lamellar Graphite, &lt; 500 N/mm2</t>
  </si>
  <si>
    <t>T = segundos para fresar la rosca</t>
  </si>
  <si>
    <t>programa CNC para Siemens</t>
  </si>
  <si>
    <t>Gjutjärn, gråjärn, &lt; 1000 N/mm2</t>
  </si>
  <si>
    <t>Gjutjärn, segjärn, aducergods, &lt; 700 N/mm2</t>
  </si>
  <si>
    <t>Kupfer, Messing, Bronze, &lt; 700 N/mm2</t>
  </si>
  <si>
    <t>111, 1 pass, flera pass axiellt, Fanuc</t>
  </si>
  <si>
    <t>NPSF - rörgänga</t>
  </si>
  <si>
    <t>Stål, låglegerat, &lt; 850 N/mm2</t>
  </si>
  <si>
    <t>Stål, höglegerat, &lt; 1200 N/mm2</t>
  </si>
  <si>
    <t>Stål, härdat, &lt; 45 HRC</t>
  </si>
  <si>
    <t>Stål, härdat, &lt; 55 HRC</t>
  </si>
  <si>
    <t>Stål, härdat, &lt; 65 HRC</t>
  </si>
  <si>
    <t>Fd = matning i fräsens centrum (mm/min)</t>
  </si>
  <si>
    <t>Copper, High Strength Bronze, &lt; 1500 N/mm2</t>
  </si>
  <si>
    <t>Aluminium, Unalloyed</t>
  </si>
  <si>
    <t>Titan, legerat, &lt; 1250 N/mm2</t>
  </si>
  <si>
    <t>Gußeisen mit Lamellengraphit, &lt; 500 N/mm2</t>
  </si>
  <si>
    <t>Nickel, legiert, &lt; 900 N/mm2</t>
  </si>
  <si>
    <t>NPSF - rosca de tubo</t>
  </si>
  <si>
    <t>Acero, carbono bajo, &lt; 0,25% C, &lt; 400 N/mm2</t>
  </si>
  <si>
    <t>Description</t>
  </si>
  <si>
    <t>d</t>
  </si>
  <si>
    <t>D</t>
  </si>
  <si>
    <t>Z</t>
  </si>
  <si>
    <t>Svenska</t>
  </si>
  <si>
    <t>CNC program for Num</t>
  </si>
  <si>
    <t>CNC program for Fagor</t>
  </si>
  <si>
    <t>2 pass rad.</t>
  </si>
  <si>
    <t>Aluminium, legiert, &lt; 10% Si</t>
  </si>
  <si>
    <t>CNC program för Fanuc</t>
  </si>
  <si>
    <t>CNC program för Siemens</t>
  </si>
  <si>
    <t>CNC program för Num</t>
  </si>
  <si>
    <t>rostfreier Stahl, austenitisch</t>
  </si>
  <si>
    <t>END1</t>
  </si>
  <si>
    <t>Titan, olegerat, &lt; 700 N/mm2</t>
  </si>
  <si>
    <t>Titan, legerat, &lt; 900 N/mm2</t>
  </si>
  <si>
    <t>d = diámetro del corte (mm)</t>
  </si>
  <si>
    <t>CNC Programm für Num</t>
  </si>
  <si>
    <t>Cast iron, Lamellar Graphite, &lt; 1000 N/mm2</t>
  </si>
  <si>
    <t>Ende</t>
  </si>
  <si>
    <t>How to use the Program</t>
  </si>
  <si>
    <t>back</t>
  </si>
  <si>
    <t>灰口鑄鐵, &lt; 1000 N/mm2</t>
  </si>
  <si>
    <t>Acier refractaire, Nickel Chrome allié &lt; 1200 N/mm2</t>
  </si>
  <si>
    <t>Fonte d'acier, Lamellar Graphite, &lt;1000 N/mm2</t>
  </si>
  <si>
    <t>acier, faible taux de carbone, &lt; 0,25% C, &lt; 400 N/mm2</t>
  </si>
  <si>
    <t>acier, faible taux de carbone, &lt; 0,55% C, &lt; 700 N/mm2</t>
  </si>
  <si>
    <t xml:space="preserve"> D10</t>
    <phoneticPr fontId="4"/>
  </si>
  <si>
    <t>언급된 절삭조건은 오로지 추천되는 시작값입니다. 영향을 미칠 수 있는 많은 사항들이 있으므로 조정할 필요가 있습니다. 예를 들어, 기계의 안정성, 툴링 장치 등 입니다. YG-1 은 소프트웨어에 의해 추천된 CNC 프로그램을 사용하거나 또는 절삭조건를 사용할 때 발생할 수 있는 손상에 대해서는, 어떠한 책임도 지지 않습니다.</t>
    <phoneticPr fontId="4"/>
  </si>
  <si>
    <t>The pitch diameter have been optically messured on thread mills from YG-1 and the theoretical external diameter has been individually laser marked on each cutter. This measurement shall be noted in the square beside cutter diameter. You will most probably get a correct thread straight away.           In case you need to make adjustments you can do this in the same square or in the tooling library of the control system.</t>
    <phoneticPr fontId="4"/>
  </si>
  <si>
    <t>An Gewinde-Fräsern von YG-1 wurde der Durchnitts-Durchmesser optisch gemessen, wonach der theoretische Außendurchmesser am Werkzeug mit dem Laser markiert wurde. Dieses Maß sollte im Kästchen neben des Fräsers-Durchmessereingegeben werden. Höchst wahrscheinlich werden Sie sofort ein korrektes Gewinde erreichen. Falls danach weitere Justierungen erforderlich sein sollten, können Sie diese nochmals im gleichen Kästchen oder durch die Werkzeugbibliothek des Steuerungssystems machen.</t>
    <phoneticPr fontId="4"/>
  </si>
  <si>
    <t>툴링의 보정</t>
    <phoneticPr fontId="4"/>
  </si>
  <si>
    <t>빠른 나사 직경의 수정</t>
    <phoneticPr fontId="4"/>
  </si>
  <si>
    <t>목록에 없는 스페셜 툴링</t>
    <phoneticPr fontId="4"/>
  </si>
  <si>
    <t>M - Filettatura Metrica</t>
  </si>
  <si>
    <t>UN - Filettatura Americana</t>
  </si>
  <si>
    <t>BSPT - Filettatura Gas conica</t>
  </si>
  <si>
    <t>NPTF - Filettatura per tubi conica Americana (a tenuta stagna)</t>
  </si>
  <si>
    <t>NPSF - Filettatura per tubi conica Americana (non stagna)</t>
  </si>
  <si>
    <t>PG - Filettatura per tubi elettrici corazzati</t>
  </si>
  <si>
    <t>G - Whitworth, filettatura Gas per tubi</t>
  </si>
  <si>
    <t xml:space="preserve">NPTF - Dryseal, Filet pentru tevi NPTF </t>
  </si>
  <si>
    <t>Fonta , Grafit Lamelar ; &lt; 1000 N/mm2</t>
  </si>
  <si>
    <t>Acero, templado, &lt; 55 HRC</t>
  </si>
  <si>
    <t>Stål, medel kolhalt, &lt; 0,55% C, &lt; 700 N/mm2</t>
  </si>
  <si>
    <t>中文繁體</t>
  </si>
  <si>
    <t>Program CNC pentru Fagor</t>
  </si>
  <si>
    <t>Program CNC pentru Mazak</t>
  </si>
  <si>
    <t>Program CNC pentru Mitsubishi</t>
  </si>
  <si>
    <t>Frezarea Filetului</t>
  </si>
  <si>
    <t>Va rugam, cititi inaintea utilizarii</t>
  </si>
  <si>
    <t>Stainless steel, Ferritic and Austenitic</t>
  </si>
  <si>
    <t>Bild</t>
  </si>
  <si>
    <t>Ant. Pass</t>
  </si>
  <si>
    <t xml:space="preserve"> G40</t>
  </si>
  <si>
    <t>G00</t>
  </si>
  <si>
    <t xml:space="preserve"> Z</t>
  </si>
  <si>
    <t xml:space="preserve"> X</t>
  </si>
  <si>
    <t>G03</t>
  </si>
  <si>
    <t>. Y</t>
  </si>
  <si>
    <t>. Z</t>
  </si>
  <si>
    <t>Nickel, legiert, &lt; 1250 N/mm2</t>
  </si>
  <si>
    <t>Number of passes, axial</t>
  </si>
  <si>
    <t>BSPT - konisk rörgänga</t>
  </si>
  <si>
    <t>NPT - konisk rörgänga</t>
  </si>
  <si>
    <t>NPTF - dryseal, konisk rörgänga</t>
  </si>
  <si>
    <t>Otel cu continut mic de carbon ; &lt; 0,25% C, &lt; 400 N/mm2</t>
  </si>
  <si>
    <t>Otel cu continut mediu de carbon ; &lt; 0,55% C, &lt; 700 N/mm2</t>
  </si>
  <si>
    <t>Eesti</t>
  </si>
  <si>
    <t>Dansk</t>
  </si>
  <si>
    <t>Suomi</t>
  </si>
  <si>
    <t xml:space="preserve">NPSF - Filet pentru tevi </t>
  </si>
  <si>
    <t>PG - Filet PG</t>
  </si>
  <si>
    <t>THREAD h</t>
    <phoneticPr fontId="4"/>
  </si>
  <si>
    <t>2PASS(RAD.)</t>
    <phoneticPr fontId="4"/>
  </si>
  <si>
    <t>3PASS(RAD.)</t>
    <phoneticPr fontId="4"/>
  </si>
  <si>
    <t>Ri(DRILL)</t>
    <phoneticPr fontId="4"/>
  </si>
  <si>
    <t>Do</t>
    <phoneticPr fontId="4"/>
  </si>
  <si>
    <t>Re</t>
    <phoneticPr fontId="4"/>
  </si>
  <si>
    <t>B(Arc Ang.)</t>
  </si>
  <si>
    <t>Mit diesem Programm wird die Werkzeug-Kompensation nur für kleinere Verstellungen verwendet. Dies beseitigt Probleme, die entstehen können wenn man Radiuskorrekturen bei kurzen Verfahrwegen verwendet. Geben Sie daher einen Wert nahe an 0 für den Fräser-Durchmesser in der Werkzeug-Bibliothek am Steuersystem an.</t>
  </si>
  <si>
    <t>Korrekter Gewinde-Durchmesser direkt</t>
  </si>
  <si>
    <t>Spezialwerkzeuge</t>
  </si>
  <si>
    <t>Stahl, Kohlenstoffgehalt 0,55-0,85%, &lt; 850 N/mm2</t>
  </si>
  <si>
    <t>Acero, aleado alto, &lt; 1200 N/mm2</t>
  </si>
  <si>
    <t>Acero, templado, &lt; 45 HRC</t>
  </si>
  <si>
    <t>Gußeisen mit Kugelgraphit, &lt; 1000 N/mm2</t>
  </si>
  <si>
    <t>rostfreier Stahl, gut bearbeitbar</t>
  </si>
  <si>
    <t>21, 2 pass Fanuc</t>
  </si>
  <si>
    <t>Steel, High Alloy, &lt; 1200 N/mm2</t>
  </si>
  <si>
    <t>D = diámetro de la rosca (mm)</t>
  </si>
  <si>
    <t>P = paso (mm)</t>
  </si>
  <si>
    <t>P = paso (TPI)</t>
  </si>
  <si>
    <t>P = pitch (mm)</t>
  </si>
  <si>
    <t>P = pitch (TPI)</t>
  </si>
  <si>
    <t>l = longitud del corte (mm)</t>
  </si>
  <si>
    <t>Antal tänder</t>
  </si>
  <si>
    <t>FD = avance en Ø de la rosca (mm/min)</t>
  </si>
  <si>
    <t>Acero, carbono alto, &lt; 0,85% C, &lt; 850 N/mm2</t>
  </si>
  <si>
    <t>Acero, aleado bajo, &lt; 850 N/mm2</t>
  </si>
  <si>
    <t>Nummer</t>
  </si>
  <si>
    <t>D = Gewinde-Durchmesser (mm)</t>
  </si>
  <si>
    <t>z = número de labios</t>
  </si>
  <si>
    <t>Nickel, olegerat, &lt; 500 N/mm2</t>
  </si>
  <si>
    <t>Steel, Low Carbon, &lt; 0,25% C, &lt; 400 N/mm2</t>
  </si>
  <si>
    <t>Cast iron, Nodular Grap., Malleable, &lt; 1000 N/mm2</t>
  </si>
  <si>
    <t>Nickel, Alloyed, &lt; 1250 N/mm2</t>
  </si>
  <si>
    <t>Copper, Unalloyed, &lt; 350 N/mm2</t>
  </si>
  <si>
    <t>Titanium, Alloyed, &lt; 1250 N/mm2</t>
  </si>
  <si>
    <t>Gjutjärn, segjärn, aducergods, &lt; 1000 N/mm2</t>
  </si>
  <si>
    <t>Rostfria automatstål</t>
  </si>
  <si>
    <t>Rostfria stål, austenitiska</t>
  </si>
  <si>
    <t>Rostfria stål, ferritaustenitiska</t>
  </si>
  <si>
    <t>200011, 1, 2 pass Fanuc, Drilling+Chamfering</t>
    <phoneticPr fontId="4"/>
  </si>
  <si>
    <t>1011, 1 pass, microfräsar, Fanuc</t>
  </si>
  <si>
    <t>Copper, Brass, Bronze, &lt; 700 N/mm2</t>
  </si>
  <si>
    <t>BSPT - konische Rohrgewinde</t>
  </si>
  <si>
    <t>NPT - konische Rohrgewinde</t>
  </si>
  <si>
    <t>BSPT - rosca de tubo cónica</t>
  </si>
  <si>
    <t>NPT - rosca de tubo cónica</t>
  </si>
  <si>
    <t>BSPT - Tapered Pipe Thread</t>
  </si>
  <si>
    <t>NPT - Tapered Pipe Thread</t>
  </si>
  <si>
    <t>NPTF - Dryseal, Tapered Pipe Thread</t>
  </si>
  <si>
    <t>Inoxidable, ferrítico y austenítico</t>
  </si>
  <si>
    <t>Titanio, no aleado, &lt; 700 N/mm2</t>
  </si>
  <si>
    <t>programa CNC para Mitsubishi</t>
  </si>
  <si>
    <t>Níquel, no aleado, &lt; 500 N/mm2</t>
  </si>
  <si>
    <t>Níquel, aleado, &lt; 900 N/mm2</t>
  </si>
  <si>
    <t>FD = Vorschub am Gewinde Ø (mm/min)</t>
  </si>
  <si>
    <t>d = fräsens skärdiameter (mm)</t>
  </si>
  <si>
    <t>programa CNC para Fanuc</t>
  </si>
  <si>
    <t>Fz = Vorschub/Schneide (mm/Schneide)</t>
  </si>
  <si>
    <t>P = stigning (TPI)</t>
  </si>
  <si>
    <t>S = distancia de seguridad (mm)</t>
  </si>
  <si>
    <t>V = cutting speed (m/min)</t>
  </si>
  <si>
    <t>Steel, High Carbon, &lt; 0,85% C, &lt; 850 N/mm2</t>
  </si>
  <si>
    <t>Kupfer, unlegiert, &lt; 350 N/mm2</t>
  </si>
  <si>
    <t>Thread Milling</t>
  </si>
  <si>
    <t>FD = matning vid gängans Ø(mm/min)</t>
  </si>
  <si>
    <t>T, microfräsar</t>
  </si>
  <si>
    <t>Aluminium, Alloyed, &lt; 0.5% Si</t>
  </si>
  <si>
    <t>Aluminium, Alloyed, &lt; 10% Si</t>
  </si>
  <si>
    <t>Warning!</t>
  </si>
  <si>
    <t>P = stigning (mm)</t>
  </si>
  <si>
    <t>Nickel, unlegiert, &lt; 500 N/mm2</t>
  </si>
  <si>
    <t>1 pass rad.</t>
  </si>
  <si>
    <t>Antal pass</t>
  </si>
  <si>
    <t>Acero, carbono medio, &lt; 0,55% C, &lt; 700 N/mm2</t>
  </si>
  <si>
    <t>CNC program för Fagor</t>
  </si>
  <si>
    <t>CNC program för Mazak</t>
  </si>
  <si>
    <t>Fd = avance centro fresa (mm/min)</t>
  </si>
  <si>
    <t>z = antal skäreggar</t>
  </si>
  <si>
    <t>N = Spindeldrehzahl (1/min)</t>
  </si>
  <si>
    <t>Graphite</t>
  </si>
  <si>
    <t>T, fräsar</t>
  </si>
  <si>
    <t>T, tid</t>
  </si>
  <si>
    <t>Nickel, legerat, &lt; 900 N/mm2</t>
  </si>
  <si>
    <t>Koppar, brons, hög brottstyrka, &lt; 1500 N/mm2</t>
  </si>
  <si>
    <t>Koppar, mässing, brons, &lt; 700 N/mm2</t>
  </si>
  <si>
    <t>Acero, templado, &lt; 65 HRC</t>
  </si>
  <si>
    <t>L = gängans längd (mm)</t>
  </si>
  <si>
    <t>Stål, låg kolhalt, &lt; 0,25% C, &lt; 400 N/mm2</t>
  </si>
  <si>
    <t>Koppar, olegerat, &lt; 350 N/mm2</t>
  </si>
  <si>
    <t>#1=</t>
  </si>
  <si>
    <t>#2=0</t>
  </si>
  <si>
    <t>S = distanta de siguranta (mm)</t>
  </si>
  <si>
    <t>d = diametrul sculei (mm)</t>
  </si>
  <si>
    <t>l = lungimea muchiei taietoare (mm)</t>
  </si>
  <si>
    <t>z = numarul de canale</t>
  </si>
  <si>
    <t>NPTF - dryseal, konische Rohrgewinde</t>
  </si>
  <si>
    <t>WHILE[#2LT#1]DO1</t>
  </si>
  <si>
    <t>#2=#2+1</t>
  </si>
  <si>
    <t>Stål, hög kolhalt, &lt; 0,85% C, &lt; 850 N/mm2</t>
  </si>
  <si>
    <t>antal pass, radiellt (max 3)</t>
  </si>
  <si>
    <t>Typ</t>
  </si>
  <si>
    <t>内径ねじ切り（マシニングセンタ）</t>
    <phoneticPr fontId="4"/>
  </si>
  <si>
    <r>
      <t>使用</t>
    </r>
    <r>
      <rPr>
        <sz val="9"/>
        <rFont val="Verdana"/>
        <family val="2"/>
      </rPr>
      <t xml:space="preserve"> CNC </t>
    </r>
    <r>
      <rPr>
        <sz val="9"/>
        <rFont val="細明體"/>
        <family val="3"/>
      </rPr>
      <t>銑床銑內牙</t>
    </r>
    <phoneticPr fontId="4"/>
  </si>
  <si>
    <t>采用加工中心铣削内螺纹</t>
    <phoneticPr fontId="4"/>
  </si>
  <si>
    <t>内径ねじ切り（旋盤）</t>
    <phoneticPr fontId="4"/>
  </si>
  <si>
    <t>使用車床銑內牙</t>
    <phoneticPr fontId="4"/>
  </si>
  <si>
    <t>采用车削中心铣削内螺纹</t>
    <phoneticPr fontId="4"/>
  </si>
  <si>
    <t>가공가능산수</t>
    <phoneticPr fontId="4"/>
  </si>
  <si>
    <t>ファナック</t>
    <phoneticPr fontId="4"/>
  </si>
  <si>
    <r>
      <t>发那科</t>
    </r>
    <r>
      <rPr>
        <sz val="10"/>
        <rFont val="Arial"/>
        <family val="2"/>
      </rPr>
      <t xml:space="preserve"> (</t>
    </r>
    <r>
      <rPr>
        <sz val="10"/>
        <rFont val="宋体"/>
        <charset val="129"/>
      </rPr>
      <t>日本数控系统</t>
    </r>
    <r>
      <rPr>
        <sz val="10"/>
        <rFont val="Arial"/>
        <family val="2"/>
      </rPr>
      <t>)</t>
    </r>
    <phoneticPr fontId="4"/>
  </si>
  <si>
    <t>하이덴하인</t>
    <phoneticPr fontId="4"/>
  </si>
  <si>
    <t>ハイデンハイン</t>
    <phoneticPr fontId="4"/>
  </si>
  <si>
    <r>
      <t>海德汉</t>
    </r>
    <r>
      <rPr>
        <sz val="10"/>
        <rFont val="Arial"/>
        <family val="2"/>
      </rPr>
      <t xml:space="preserve"> (</t>
    </r>
    <r>
      <rPr>
        <sz val="10"/>
        <rFont val="宋体"/>
        <charset val="129"/>
      </rPr>
      <t>德国数控系统</t>
    </r>
    <r>
      <rPr>
        <sz val="10"/>
        <rFont val="Arial"/>
        <family val="2"/>
      </rPr>
      <t>)</t>
    </r>
    <phoneticPr fontId="4"/>
  </si>
  <si>
    <t>지멘스</t>
    <phoneticPr fontId="4"/>
  </si>
  <si>
    <t>シーメンス</t>
    <phoneticPr fontId="4"/>
  </si>
  <si>
    <r>
      <t>西门子</t>
    </r>
    <r>
      <rPr>
        <sz val="10"/>
        <rFont val="Arial"/>
        <family val="2"/>
      </rPr>
      <t xml:space="preserve"> (</t>
    </r>
    <r>
      <rPr>
        <sz val="10"/>
        <rFont val="宋体"/>
        <charset val="129"/>
      </rPr>
      <t>德国数控系统</t>
    </r>
    <r>
      <rPr>
        <sz val="10"/>
        <rFont val="Arial"/>
        <family val="2"/>
      </rPr>
      <t>)</t>
    </r>
    <phoneticPr fontId="4"/>
  </si>
  <si>
    <t>넘</t>
    <phoneticPr fontId="4"/>
  </si>
  <si>
    <r>
      <t>NUM (</t>
    </r>
    <r>
      <rPr>
        <sz val="10"/>
        <rFont val="宋体"/>
        <charset val="129"/>
      </rPr>
      <t>法国数控系统</t>
    </r>
    <r>
      <rPr>
        <sz val="10"/>
        <rFont val="Arial"/>
        <family val="2"/>
      </rPr>
      <t xml:space="preserve">, </t>
    </r>
    <r>
      <rPr>
        <sz val="10"/>
        <rFont val="宋体"/>
        <charset val="129"/>
      </rPr>
      <t>施耐德电气的子公司</t>
    </r>
    <r>
      <rPr>
        <sz val="10"/>
        <rFont val="Arial"/>
        <family val="2"/>
      </rPr>
      <t>)</t>
    </r>
    <phoneticPr fontId="4"/>
  </si>
  <si>
    <t>파고르</t>
    <phoneticPr fontId="4"/>
  </si>
  <si>
    <r>
      <t>发格</t>
    </r>
    <r>
      <rPr>
        <sz val="10"/>
        <rFont val="Arial"/>
        <family val="2"/>
      </rPr>
      <t xml:space="preserve"> (</t>
    </r>
    <r>
      <rPr>
        <sz val="10"/>
        <rFont val="宋体"/>
        <charset val="129"/>
      </rPr>
      <t>西班牙数控系统</t>
    </r>
    <r>
      <rPr>
        <sz val="10"/>
        <rFont val="Arial"/>
        <family val="2"/>
      </rPr>
      <t>)</t>
    </r>
    <phoneticPr fontId="4"/>
  </si>
  <si>
    <t>마작</t>
    <phoneticPr fontId="4"/>
  </si>
  <si>
    <t>マザック</t>
    <phoneticPr fontId="4"/>
  </si>
  <si>
    <r>
      <t>马扎克</t>
    </r>
    <r>
      <rPr>
        <sz val="10"/>
        <rFont val="Arial"/>
        <family val="2"/>
      </rPr>
      <t xml:space="preserve"> (</t>
    </r>
    <r>
      <rPr>
        <sz val="10"/>
        <rFont val="宋体"/>
        <charset val="129"/>
      </rPr>
      <t>日本数控系统</t>
    </r>
    <r>
      <rPr>
        <sz val="10"/>
        <rFont val="Arial"/>
        <family val="2"/>
      </rPr>
      <t>)</t>
    </r>
    <phoneticPr fontId="4"/>
  </si>
  <si>
    <t xml:space="preserve"> D60</t>
    <phoneticPr fontId="4"/>
  </si>
  <si>
    <t>미쓰비시</t>
    <phoneticPr fontId="4"/>
  </si>
  <si>
    <t>三菱</t>
    <phoneticPr fontId="4"/>
  </si>
  <si>
    <r>
      <t>三菱</t>
    </r>
    <r>
      <rPr>
        <sz val="10"/>
        <rFont val="Arial"/>
        <family val="2"/>
      </rPr>
      <t xml:space="preserve"> (</t>
    </r>
    <r>
      <rPr>
        <sz val="10"/>
        <rFont val="宋体"/>
        <charset val="129"/>
      </rPr>
      <t>日本数控系统</t>
    </r>
    <r>
      <rPr>
        <sz val="10"/>
        <rFont val="Arial"/>
        <family val="2"/>
      </rPr>
      <t>)</t>
    </r>
    <phoneticPr fontId="4"/>
  </si>
  <si>
    <r>
      <t xml:space="preserve">M - </t>
    </r>
    <r>
      <rPr>
        <b/>
        <sz val="9"/>
        <rFont val="돋움"/>
        <family val="3"/>
        <charset val="129"/>
      </rPr>
      <t>미터나사</t>
    </r>
    <phoneticPr fontId="4"/>
  </si>
  <si>
    <t>メートルねじ</t>
    <phoneticPr fontId="4"/>
  </si>
  <si>
    <r>
      <t>公制牙</t>
    </r>
    <r>
      <rPr>
        <sz val="9"/>
        <rFont val="Verdana"/>
        <family val="2"/>
      </rPr>
      <t>-M</t>
    </r>
    <phoneticPr fontId="4"/>
  </si>
  <si>
    <r>
      <t xml:space="preserve">M - </t>
    </r>
    <r>
      <rPr>
        <sz val="10"/>
        <rFont val="宋体"/>
        <charset val="129"/>
      </rPr>
      <t>公制螺纹</t>
    </r>
    <phoneticPr fontId="4"/>
  </si>
  <si>
    <r>
      <t xml:space="preserve">UN - </t>
    </r>
    <r>
      <rPr>
        <sz val="9"/>
        <rFont val="돋움"/>
        <family val="3"/>
      </rPr>
      <t>인치나사</t>
    </r>
    <phoneticPr fontId="4"/>
  </si>
  <si>
    <t>ユニファイねじ</t>
    <phoneticPr fontId="4"/>
  </si>
  <si>
    <r>
      <t>美制牙</t>
    </r>
    <r>
      <rPr>
        <sz val="9"/>
        <rFont val="Verdana"/>
        <family val="2"/>
      </rPr>
      <t>-UN</t>
    </r>
    <phoneticPr fontId="4"/>
  </si>
  <si>
    <r>
      <t xml:space="preserve">UN - </t>
    </r>
    <r>
      <rPr>
        <sz val="10"/>
        <rFont val="宋体"/>
        <charset val="129"/>
      </rPr>
      <t>美制统一螺纹</t>
    </r>
    <phoneticPr fontId="4"/>
  </si>
  <si>
    <r>
      <t xml:space="preserve">NPT - </t>
    </r>
    <r>
      <rPr>
        <sz val="9"/>
        <rFont val="돋움"/>
        <family val="3"/>
      </rPr>
      <t>관용</t>
    </r>
    <r>
      <rPr>
        <sz val="9"/>
        <rFont val="Verdana"/>
        <family val="2"/>
      </rPr>
      <t xml:space="preserve"> </t>
    </r>
    <r>
      <rPr>
        <sz val="9"/>
        <rFont val="돋움"/>
        <family val="3"/>
      </rPr>
      <t>테이퍼 나사</t>
    </r>
    <phoneticPr fontId="4"/>
  </si>
  <si>
    <t>ナショナル管用テーパねじ（ＮＰＴ）</t>
    <phoneticPr fontId="4"/>
  </si>
  <si>
    <r>
      <t>美制斜管牙</t>
    </r>
    <r>
      <rPr>
        <sz val="9"/>
        <rFont val="Verdana"/>
        <family val="2"/>
      </rPr>
      <t>-NPT</t>
    </r>
    <phoneticPr fontId="4"/>
  </si>
  <si>
    <r>
      <t xml:space="preserve">NPT - </t>
    </r>
    <r>
      <rPr>
        <sz val="10"/>
        <rFont val="돋움"/>
        <family val="3"/>
        <charset val="129"/>
      </rPr>
      <t>美制锥管螺纹</t>
    </r>
    <phoneticPr fontId="4"/>
  </si>
  <si>
    <r>
      <t xml:space="preserve">G - </t>
    </r>
    <r>
      <rPr>
        <sz val="9"/>
        <rFont val="돋움"/>
        <family val="3"/>
      </rPr>
      <t>관용</t>
    </r>
    <r>
      <rPr>
        <sz val="9"/>
        <rFont val="Verdana"/>
        <family val="2"/>
      </rPr>
      <t xml:space="preserve"> </t>
    </r>
    <r>
      <rPr>
        <sz val="9"/>
        <rFont val="돋움"/>
        <family val="3"/>
      </rPr>
      <t>위트워드</t>
    </r>
    <r>
      <rPr>
        <sz val="9"/>
        <rFont val="Verdana"/>
        <family val="2"/>
      </rPr>
      <t xml:space="preserve"> </t>
    </r>
    <r>
      <rPr>
        <sz val="9"/>
        <rFont val="돋움"/>
        <family val="3"/>
      </rPr>
      <t>나사</t>
    </r>
    <phoneticPr fontId="4"/>
  </si>
  <si>
    <t>ウィットワースねじ</t>
    <phoneticPr fontId="4"/>
  </si>
  <si>
    <r>
      <t>英制直管牙</t>
    </r>
    <r>
      <rPr>
        <sz val="9"/>
        <rFont val="Verdana"/>
        <family val="2"/>
      </rPr>
      <t>-G</t>
    </r>
    <phoneticPr fontId="4"/>
  </si>
  <si>
    <r>
      <t xml:space="preserve">G - </t>
    </r>
    <r>
      <rPr>
        <sz val="10"/>
        <rFont val="돋움"/>
        <family val="3"/>
        <charset val="129"/>
      </rPr>
      <t>惠氏管螺纹</t>
    </r>
    <phoneticPr fontId="4"/>
  </si>
  <si>
    <r>
      <t xml:space="preserve">BSPT - </t>
    </r>
    <r>
      <rPr>
        <sz val="9"/>
        <rFont val="돋움"/>
        <family val="3"/>
      </rPr>
      <t>관용</t>
    </r>
    <r>
      <rPr>
        <sz val="9"/>
        <rFont val="Verdana"/>
        <family val="2"/>
      </rPr>
      <t xml:space="preserve"> </t>
    </r>
    <r>
      <rPr>
        <sz val="9"/>
        <rFont val="돋움"/>
        <family val="3"/>
      </rPr>
      <t>테이퍼 나사(영국식)</t>
    </r>
    <phoneticPr fontId="4"/>
  </si>
  <si>
    <t>管用テーパねじ（ＢＳＰＴ）</t>
    <phoneticPr fontId="4"/>
  </si>
  <si>
    <r>
      <t>英制斜管牙</t>
    </r>
    <r>
      <rPr>
        <sz val="9"/>
        <rFont val="Verdana"/>
        <family val="2"/>
      </rPr>
      <t>-BSPT</t>
    </r>
    <phoneticPr fontId="4"/>
  </si>
  <si>
    <r>
      <t xml:space="preserve">BSPT - </t>
    </r>
    <r>
      <rPr>
        <sz val="10"/>
        <rFont val="돋움"/>
        <family val="3"/>
        <charset val="129"/>
      </rPr>
      <t>英制锥管螺纹</t>
    </r>
    <phoneticPr fontId="4"/>
  </si>
  <si>
    <t>T (second)</t>
    <phoneticPr fontId="4"/>
  </si>
  <si>
    <t xml:space="preserve"> R</t>
    <phoneticPr fontId="4"/>
  </si>
  <si>
    <t>. Z</t>
    <phoneticPr fontId="4"/>
  </si>
  <si>
    <t xml:space="preserve"> F</t>
    <phoneticPr fontId="4"/>
  </si>
  <si>
    <r>
      <t xml:space="preserve">NPTF - </t>
    </r>
    <r>
      <rPr>
        <sz val="9"/>
        <rFont val="돋움"/>
        <family val="3"/>
      </rPr>
      <t>드라이씰용, 관용 테이퍼 나사</t>
    </r>
    <phoneticPr fontId="4"/>
  </si>
  <si>
    <t>ＮＰＴＦドライシールねじ</t>
    <phoneticPr fontId="4"/>
  </si>
  <si>
    <r>
      <t>美制斜管牙</t>
    </r>
    <r>
      <rPr>
        <sz val="9"/>
        <rFont val="Verdana"/>
        <family val="2"/>
      </rPr>
      <t>-NPTF</t>
    </r>
    <phoneticPr fontId="4"/>
  </si>
  <si>
    <r>
      <t xml:space="preserve">NPTF - </t>
    </r>
    <r>
      <rPr>
        <sz val="10"/>
        <rFont val="宋体"/>
        <charset val="129"/>
      </rPr>
      <t>干封美制锥管螺纹</t>
    </r>
    <phoneticPr fontId="4"/>
  </si>
  <si>
    <r>
      <t xml:space="preserve">NPSF - </t>
    </r>
    <r>
      <rPr>
        <sz val="9"/>
        <rFont val="돋움"/>
        <family val="3"/>
      </rPr>
      <t>관용</t>
    </r>
    <r>
      <rPr>
        <sz val="9"/>
        <rFont val="Verdana"/>
        <family val="2"/>
      </rPr>
      <t xml:space="preserve"> </t>
    </r>
    <r>
      <rPr>
        <sz val="9"/>
        <rFont val="돋움"/>
        <family val="3"/>
      </rPr>
      <t>평행</t>
    </r>
    <r>
      <rPr>
        <sz val="9"/>
        <rFont val="Verdana"/>
        <family val="2"/>
      </rPr>
      <t xml:space="preserve"> </t>
    </r>
    <r>
      <rPr>
        <sz val="9"/>
        <rFont val="돋움"/>
        <family val="3"/>
      </rPr>
      <t>나사</t>
    </r>
    <phoneticPr fontId="4"/>
  </si>
  <si>
    <t>ＮＰＳＦ管用ねじ</t>
    <phoneticPr fontId="4"/>
  </si>
  <si>
    <r>
      <t>美制斜管牙</t>
    </r>
    <r>
      <rPr>
        <sz val="9"/>
        <rFont val="Verdana"/>
        <family val="2"/>
      </rPr>
      <t>-NPSF</t>
    </r>
    <phoneticPr fontId="4"/>
  </si>
  <si>
    <r>
      <t xml:space="preserve">NPSF - </t>
    </r>
    <r>
      <rPr>
        <sz val="10"/>
        <rFont val="宋体"/>
        <charset val="129"/>
      </rPr>
      <t>干封美制燃料管用内直螺纹</t>
    </r>
    <phoneticPr fontId="4"/>
  </si>
  <si>
    <r>
      <t xml:space="preserve">PG - </t>
    </r>
    <r>
      <rPr>
        <sz val="9"/>
        <rFont val="돋움"/>
        <family val="3"/>
      </rPr>
      <t>전선관용</t>
    </r>
    <r>
      <rPr>
        <sz val="9"/>
        <rFont val="Verdana"/>
        <family val="2"/>
      </rPr>
      <t xml:space="preserve"> </t>
    </r>
    <r>
      <rPr>
        <sz val="9"/>
        <rFont val="돋움"/>
        <family val="3"/>
      </rPr>
      <t>나사</t>
    </r>
    <phoneticPr fontId="4"/>
  </si>
  <si>
    <t>ＰＧねじ</t>
    <phoneticPr fontId="4"/>
  </si>
  <si>
    <r>
      <t>鋼管牙</t>
    </r>
    <r>
      <rPr>
        <sz val="9"/>
        <rFont val="Verdana"/>
        <family val="2"/>
      </rPr>
      <t>-PG</t>
    </r>
    <phoneticPr fontId="4"/>
  </si>
  <si>
    <r>
      <t xml:space="preserve">PG - DIN40430 </t>
    </r>
    <r>
      <rPr>
        <sz val="10"/>
        <rFont val="宋体"/>
        <charset val="129"/>
      </rPr>
      <t>钢管螺纹</t>
    </r>
    <phoneticPr fontId="4"/>
  </si>
  <si>
    <t>G00</t>
    <phoneticPr fontId="4"/>
  </si>
  <si>
    <r>
      <t xml:space="preserve">NPT - </t>
    </r>
    <r>
      <rPr>
        <sz val="9"/>
        <rFont val="돋움"/>
        <family val="3"/>
      </rPr>
      <t>관용</t>
    </r>
    <r>
      <rPr>
        <sz val="9"/>
        <rFont val="Verdana"/>
        <family val="2"/>
      </rPr>
      <t xml:space="preserve"> </t>
    </r>
    <r>
      <rPr>
        <sz val="9"/>
        <rFont val="돋움"/>
        <family val="3"/>
      </rPr>
      <t>테이퍼 나사</t>
    </r>
    <phoneticPr fontId="4"/>
  </si>
  <si>
    <r>
      <t>저탄소강</t>
    </r>
    <r>
      <rPr>
        <sz val="9"/>
        <rFont val="Verdana"/>
        <family val="2"/>
      </rPr>
      <t xml:space="preserve">, </t>
    </r>
    <r>
      <rPr>
        <sz val="9"/>
        <rFont val="돋움"/>
        <family val="3"/>
      </rPr>
      <t>탄소</t>
    </r>
    <r>
      <rPr>
        <sz val="9"/>
        <rFont val="Verdana"/>
        <family val="2"/>
      </rPr>
      <t xml:space="preserve"> 0,25% </t>
    </r>
    <r>
      <rPr>
        <sz val="9"/>
        <rFont val="돋움"/>
        <family val="3"/>
      </rPr>
      <t>이하</t>
    </r>
    <r>
      <rPr>
        <sz val="9"/>
        <rFont val="Verdana"/>
        <family val="2"/>
      </rPr>
      <t xml:space="preserve">, </t>
    </r>
    <r>
      <rPr>
        <sz val="9"/>
        <rFont val="돋움"/>
        <family val="3"/>
      </rPr>
      <t>인장강도</t>
    </r>
    <r>
      <rPr>
        <sz val="9"/>
        <rFont val="Verdana"/>
        <family val="2"/>
      </rPr>
      <t xml:space="preserve"> 40 Kg/mm2 </t>
    </r>
    <r>
      <rPr>
        <sz val="9"/>
        <rFont val="돋움"/>
        <family val="3"/>
      </rPr>
      <t>이하</t>
    </r>
    <phoneticPr fontId="4"/>
  </si>
  <si>
    <t>低炭素鋼, &lt; 0,25% C, &lt; 400 N/mm2</t>
    <phoneticPr fontId="4"/>
  </si>
  <si>
    <r>
      <t>低碳鋼</t>
    </r>
    <r>
      <rPr>
        <sz val="9"/>
        <rFont val="Verdana"/>
        <family val="2"/>
      </rPr>
      <t xml:space="preserve">, &lt; 0,25% </t>
    </r>
    <r>
      <rPr>
        <sz val="9"/>
        <rFont val="細明體"/>
        <family val="3"/>
      </rPr>
      <t>碳</t>
    </r>
    <r>
      <rPr>
        <sz val="9"/>
        <rFont val="Verdana"/>
        <family val="2"/>
      </rPr>
      <t>, &lt; 400 N/mm2</t>
    </r>
    <phoneticPr fontId="4"/>
  </si>
  <si>
    <r>
      <t>低碳钢</t>
    </r>
    <r>
      <rPr>
        <sz val="10"/>
        <rFont val="Arial"/>
        <family val="2"/>
      </rPr>
      <t>, &lt; 0,25% C, &lt; 400 N/mm2</t>
    </r>
    <phoneticPr fontId="4"/>
  </si>
  <si>
    <r>
      <t>중탄소강</t>
    </r>
    <r>
      <rPr>
        <sz val="9"/>
        <rFont val="Verdana"/>
        <family val="2"/>
      </rPr>
      <t xml:space="preserve">, </t>
    </r>
    <r>
      <rPr>
        <sz val="9"/>
        <rFont val="돋움"/>
        <family val="3"/>
      </rPr>
      <t>탄소</t>
    </r>
    <r>
      <rPr>
        <sz val="9"/>
        <rFont val="Verdana"/>
        <family val="2"/>
      </rPr>
      <t xml:space="preserve"> 0,55% </t>
    </r>
    <r>
      <rPr>
        <sz val="9"/>
        <rFont val="돋움"/>
        <family val="3"/>
      </rPr>
      <t>이하</t>
    </r>
    <r>
      <rPr>
        <sz val="9"/>
        <rFont val="Verdana"/>
        <family val="2"/>
      </rPr>
      <t xml:space="preserve">, </t>
    </r>
    <r>
      <rPr>
        <sz val="9"/>
        <rFont val="돋움"/>
        <family val="3"/>
      </rPr>
      <t>인장강도</t>
    </r>
    <r>
      <rPr>
        <sz val="9"/>
        <rFont val="Verdana"/>
        <family val="2"/>
      </rPr>
      <t xml:space="preserve"> 70 Kg/mm2 </t>
    </r>
    <r>
      <rPr>
        <sz val="9"/>
        <rFont val="돋움"/>
        <family val="3"/>
      </rPr>
      <t>이하</t>
    </r>
    <phoneticPr fontId="4"/>
  </si>
  <si>
    <t>中炭素鋼、 &lt; 0,55% C, &lt; 700 N/mm2</t>
    <phoneticPr fontId="4"/>
  </si>
  <si>
    <r>
      <t>中碳鋼</t>
    </r>
    <r>
      <rPr>
        <sz val="9"/>
        <rFont val="Verdana"/>
        <family val="2"/>
      </rPr>
      <t xml:space="preserve">, &lt; 0,55% </t>
    </r>
    <r>
      <rPr>
        <sz val="9"/>
        <rFont val="細明體"/>
        <family val="3"/>
      </rPr>
      <t>碳</t>
    </r>
    <r>
      <rPr>
        <sz val="9"/>
        <rFont val="Verdana"/>
        <family val="2"/>
      </rPr>
      <t>, &lt; 700 N/mm2</t>
    </r>
    <phoneticPr fontId="4"/>
  </si>
  <si>
    <r>
      <t>中碳钢</t>
    </r>
    <r>
      <rPr>
        <sz val="10"/>
        <rFont val="Arial"/>
        <family val="2"/>
      </rPr>
      <t>, &lt; 0,55% C, &lt; 400 N/mm2</t>
    </r>
    <phoneticPr fontId="4"/>
  </si>
  <si>
    <r>
      <t>고탄소강</t>
    </r>
    <r>
      <rPr>
        <sz val="9"/>
        <rFont val="Verdana"/>
        <family val="2"/>
      </rPr>
      <t xml:space="preserve">, </t>
    </r>
    <r>
      <rPr>
        <sz val="9"/>
        <rFont val="돋움"/>
        <family val="3"/>
      </rPr>
      <t>탄소</t>
    </r>
    <r>
      <rPr>
        <sz val="9"/>
        <rFont val="Verdana"/>
        <family val="2"/>
      </rPr>
      <t xml:space="preserve"> 0,85% </t>
    </r>
    <r>
      <rPr>
        <sz val="9"/>
        <rFont val="돋움"/>
        <family val="3"/>
      </rPr>
      <t>이하</t>
    </r>
    <r>
      <rPr>
        <sz val="9"/>
        <rFont val="Verdana"/>
        <family val="2"/>
      </rPr>
      <t xml:space="preserve">, </t>
    </r>
    <r>
      <rPr>
        <sz val="9"/>
        <rFont val="돋움"/>
        <family val="3"/>
      </rPr>
      <t>인장강도</t>
    </r>
    <r>
      <rPr>
        <sz val="9"/>
        <rFont val="Verdana"/>
        <family val="2"/>
      </rPr>
      <t xml:space="preserve"> 85 Kg/mm2 </t>
    </r>
    <r>
      <rPr>
        <sz val="9"/>
        <rFont val="돋움"/>
        <family val="3"/>
      </rPr>
      <t>이하</t>
    </r>
    <phoneticPr fontId="4"/>
  </si>
  <si>
    <t>高炭素鋼, &lt; 0,85% C, &lt; 850 N/mm2</t>
    <phoneticPr fontId="4"/>
  </si>
  <si>
    <r>
      <t>高碳鋼</t>
    </r>
    <r>
      <rPr>
        <sz val="9"/>
        <rFont val="Verdana"/>
        <family val="2"/>
      </rPr>
      <t xml:space="preserve">, &lt; 0,85% </t>
    </r>
    <r>
      <rPr>
        <sz val="9"/>
        <rFont val="細明體"/>
        <family val="3"/>
      </rPr>
      <t>碳</t>
    </r>
    <r>
      <rPr>
        <sz val="9"/>
        <rFont val="Verdana"/>
        <family val="2"/>
      </rPr>
      <t>, &lt; 850 N/mm2</t>
    </r>
    <phoneticPr fontId="4"/>
  </si>
  <si>
    <r>
      <t>高碳钢</t>
    </r>
    <r>
      <rPr>
        <sz val="10"/>
        <rFont val="Arial"/>
        <family val="2"/>
      </rPr>
      <t>, &lt; 0,85% C, &lt; 850 N/mm2</t>
    </r>
    <phoneticPr fontId="4"/>
  </si>
  <si>
    <r>
      <t>저합금강</t>
    </r>
    <r>
      <rPr>
        <sz val="9"/>
        <rFont val="Verdana"/>
        <family val="2"/>
      </rPr>
      <t xml:space="preserve">, </t>
    </r>
    <r>
      <rPr>
        <sz val="9"/>
        <rFont val="돋움"/>
        <family val="3"/>
      </rPr>
      <t>인장강도</t>
    </r>
    <r>
      <rPr>
        <sz val="9"/>
        <rFont val="Verdana"/>
        <family val="2"/>
      </rPr>
      <t xml:space="preserve"> 85 Kg/mm2 </t>
    </r>
    <r>
      <rPr>
        <sz val="9"/>
        <rFont val="돋움"/>
        <family val="3"/>
      </rPr>
      <t>이하</t>
    </r>
    <phoneticPr fontId="4"/>
  </si>
  <si>
    <t>低合金鋼, &lt; 850 N/mm2</t>
    <phoneticPr fontId="4"/>
  </si>
  <si>
    <r>
      <t>低合金鋼</t>
    </r>
    <r>
      <rPr>
        <sz val="9"/>
        <rFont val="Verdana"/>
        <family val="2"/>
      </rPr>
      <t>, &lt; 850 N/mm2</t>
    </r>
    <phoneticPr fontId="4"/>
  </si>
  <si>
    <r>
      <t>低合金钢</t>
    </r>
    <r>
      <rPr>
        <sz val="10"/>
        <rFont val="Arial"/>
        <family val="2"/>
      </rPr>
      <t>, &lt; 850 N/mm2</t>
    </r>
    <phoneticPr fontId="4"/>
  </si>
  <si>
    <t xml:space="preserve"> G49</t>
    <phoneticPr fontId="4"/>
  </si>
  <si>
    <r>
      <t>고합금강</t>
    </r>
    <r>
      <rPr>
        <sz val="9"/>
        <rFont val="Verdana"/>
        <family val="2"/>
      </rPr>
      <t xml:space="preserve">, </t>
    </r>
    <r>
      <rPr>
        <sz val="9"/>
        <rFont val="돋움"/>
        <family val="3"/>
      </rPr>
      <t>인장강도</t>
    </r>
    <r>
      <rPr>
        <sz val="9"/>
        <rFont val="Verdana"/>
        <family val="2"/>
      </rPr>
      <t xml:space="preserve"> 120 Kg/mm2 </t>
    </r>
    <r>
      <rPr>
        <sz val="9"/>
        <rFont val="돋움"/>
        <family val="3"/>
      </rPr>
      <t>이하</t>
    </r>
    <phoneticPr fontId="4"/>
  </si>
  <si>
    <t>高合金鋼, &lt; 1200 N/mm2</t>
    <phoneticPr fontId="4"/>
  </si>
  <si>
    <r>
      <t>高合金鋼</t>
    </r>
    <r>
      <rPr>
        <sz val="9"/>
        <rFont val="Verdana"/>
        <family val="2"/>
      </rPr>
      <t>, &lt; 1200 N/mm2</t>
    </r>
    <phoneticPr fontId="4"/>
  </si>
  <si>
    <r>
      <t>高合金钢</t>
    </r>
    <r>
      <rPr>
        <sz val="10"/>
        <rFont val="Arial"/>
        <family val="2"/>
      </rPr>
      <t>, &lt; 1200 N/mm2</t>
    </r>
    <phoneticPr fontId="4"/>
  </si>
  <si>
    <r>
      <t>열처리강</t>
    </r>
    <r>
      <rPr>
        <sz val="9"/>
        <rFont val="Verdana"/>
        <family val="2"/>
      </rPr>
      <t xml:space="preserve">, </t>
    </r>
    <r>
      <rPr>
        <sz val="9"/>
        <rFont val="돋움"/>
        <family val="3"/>
      </rPr>
      <t>경도</t>
    </r>
    <r>
      <rPr>
        <sz val="9"/>
        <rFont val="Verdana"/>
        <family val="2"/>
      </rPr>
      <t xml:space="preserve"> HRC 45 </t>
    </r>
    <r>
      <rPr>
        <sz val="9"/>
        <rFont val="돋움"/>
        <family val="3"/>
      </rPr>
      <t>이하</t>
    </r>
    <phoneticPr fontId="4"/>
  </si>
  <si>
    <t>焼き入れ鋼, &lt; 45 HRC</t>
    <phoneticPr fontId="4"/>
  </si>
  <si>
    <r>
      <t>硬化合金鋼</t>
    </r>
    <r>
      <rPr>
        <sz val="9"/>
        <rFont val="Verdana"/>
        <family val="2"/>
      </rPr>
      <t>, &lt; 45 HRC</t>
    </r>
    <phoneticPr fontId="4"/>
  </si>
  <si>
    <r>
      <t>淬火钢</t>
    </r>
    <r>
      <rPr>
        <sz val="10"/>
        <rFont val="Arial"/>
        <family val="2"/>
      </rPr>
      <t>, &lt; 45 HRC</t>
    </r>
    <phoneticPr fontId="4"/>
  </si>
  <si>
    <r>
      <t>열처리강</t>
    </r>
    <r>
      <rPr>
        <sz val="9"/>
        <rFont val="Verdana"/>
        <family val="2"/>
      </rPr>
      <t xml:space="preserve">, </t>
    </r>
    <r>
      <rPr>
        <sz val="9"/>
        <rFont val="돋움"/>
        <family val="3"/>
      </rPr>
      <t>경도</t>
    </r>
    <r>
      <rPr>
        <sz val="9"/>
        <rFont val="Verdana"/>
        <family val="2"/>
      </rPr>
      <t xml:space="preserve"> HRC 55 </t>
    </r>
    <r>
      <rPr>
        <sz val="9"/>
        <rFont val="돋움"/>
        <family val="3"/>
      </rPr>
      <t>이하</t>
    </r>
    <phoneticPr fontId="4"/>
  </si>
  <si>
    <r>
      <t>焼き入れ鋼</t>
    </r>
    <r>
      <rPr>
        <sz val="9"/>
        <rFont val="Verdana"/>
        <family val="2"/>
      </rPr>
      <t>, &lt; 55 HRC</t>
    </r>
    <phoneticPr fontId="4"/>
  </si>
  <si>
    <r>
      <t>硬化合金鋼</t>
    </r>
    <r>
      <rPr>
        <sz val="9"/>
        <rFont val="Verdana"/>
        <family val="2"/>
      </rPr>
      <t>, &lt; 55 HRC</t>
    </r>
    <phoneticPr fontId="4"/>
  </si>
  <si>
    <r>
      <t>淬火钢</t>
    </r>
    <r>
      <rPr>
        <sz val="10"/>
        <rFont val="Arial"/>
        <family val="2"/>
      </rPr>
      <t>, &lt; 55 HRC</t>
    </r>
    <phoneticPr fontId="4"/>
  </si>
  <si>
    <t>M30</t>
    <phoneticPr fontId="4"/>
  </si>
  <si>
    <t>G90</t>
    <phoneticPr fontId="4"/>
  </si>
  <si>
    <t xml:space="preserve"> G49</t>
    <phoneticPr fontId="4"/>
  </si>
  <si>
    <t xml:space="preserve"> G00</t>
    <phoneticPr fontId="4"/>
  </si>
  <si>
    <t xml:space="preserve"> Z</t>
    <phoneticPr fontId="4"/>
  </si>
  <si>
    <r>
      <t>열처리강</t>
    </r>
    <r>
      <rPr>
        <sz val="9"/>
        <rFont val="Verdana"/>
        <family val="2"/>
      </rPr>
      <t xml:space="preserve">, </t>
    </r>
    <r>
      <rPr>
        <sz val="9"/>
        <rFont val="돋움"/>
        <family val="3"/>
      </rPr>
      <t>경도</t>
    </r>
    <r>
      <rPr>
        <sz val="9"/>
        <rFont val="Verdana"/>
        <family val="2"/>
      </rPr>
      <t xml:space="preserve"> HRC 65 </t>
    </r>
    <r>
      <rPr>
        <sz val="9"/>
        <rFont val="돋움"/>
        <family val="3"/>
      </rPr>
      <t>이하</t>
    </r>
    <phoneticPr fontId="4"/>
  </si>
  <si>
    <r>
      <t>焼き入れ鋼</t>
    </r>
    <r>
      <rPr>
        <sz val="9"/>
        <rFont val="Verdana"/>
        <family val="2"/>
      </rPr>
      <t>, &lt; 65 HRC</t>
    </r>
    <r>
      <rPr>
        <b/>
        <sz val="10"/>
        <rFont val="Verdana"/>
        <family val="2"/>
      </rPr>
      <t/>
    </r>
    <phoneticPr fontId="4"/>
  </si>
  <si>
    <r>
      <t>硬化合金鋼</t>
    </r>
    <r>
      <rPr>
        <sz val="9"/>
        <rFont val="Verdana"/>
        <family val="2"/>
      </rPr>
      <t>, &lt; 65 HRC</t>
    </r>
    <phoneticPr fontId="4"/>
  </si>
  <si>
    <r>
      <t>淬火钢</t>
    </r>
    <r>
      <rPr>
        <sz val="10"/>
        <rFont val="Arial"/>
        <family val="2"/>
      </rPr>
      <t>, &lt; 65 HRC</t>
    </r>
    <phoneticPr fontId="4"/>
  </si>
  <si>
    <t>Copyright © 2008 by YG-1 Co.,LTD.</t>
    <phoneticPr fontId="4"/>
  </si>
  <si>
    <r>
      <t>Fdr = Vorschub Bohren</t>
    </r>
    <r>
      <rPr>
        <sz val="9"/>
        <rFont val="돋움"/>
        <family val="3"/>
        <charset val="129"/>
      </rPr>
      <t>(mm/rev.)</t>
    </r>
    <phoneticPr fontId="4"/>
  </si>
  <si>
    <r>
      <t>Fdr = drilling feed</t>
    </r>
    <r>
      <rPr>
        <sz val="9"/>
        <rFont val="돋움"/>
        <family val="3"/>
        <charset val="129"/>
      </rPr>
      <t>(mm/rev.)</t>
    </r>
    <phoneticPr fontId="4"/>
  </si>
  <si>
    <r>
      <t xml:space="preserve">Fdr = </t>
    </r>
    <r>
      <rPr>
        <sz val="9"/>
        <rFont val="돋움"/>
        <family val="3"/>
        <charset val="129"/>
      </rPr>
      <t>이송/회전당, 드릴링(mm/rev.)</t>
    </r>
    <phoneticPr fontId="4"/>
  </si>
  <si>
    <t>Drill Dia.</t>
    <phoneticPr fontId="4"/>
  </si>
  <si>
    <r>
      <t>주철</t>
    </r>
    <r>
      <rPr>
        <sz val="9"/>
        <rFont val="Verdana"/>
        <family val="2"/>
      </rPr>
      <t xml:space="preserve">, </t>
    </r>
    <r>
      <rPr>
        <sz val="9"/>
        <rFont val="돋움"/>
        <family val="3"/>
      </rPr>
      <t>인장강도</t>
    </r>
    <r>
      <rPr>
        <sz val="9"/>
        <rFont val="Verdana"/>
        <family val="2"/>
      </rPr>
      <t xml:space="preserve"> 50 Kg/mm2 </t>
    </r>
    <r>
      <rPr>
        <sz val="9"/>
        <rFont val="돋움"/>
        <family val="3"/>
      </rPr>
      <t>이하</t>
    </r>
    <phoneticPr fontId="4"/>
  </si>
  <si>
    <t>鋳鉄、グラファイト薄板, &lt; 500 N/mm2</t>
    <phoneticPr fontId="4"/>
  </si>
  <si>
    <r>
      <t>灰口鑄鐵</t>
    </r>
    <r>
      <rPr>
        <sz val="9"/>
        <rFont val="Verdana"/>
        <family val="2"/>
      </rPr>
      <t>, &lt; 500 N/mm2</t>
    </r>
    <phoneticPr fontId="4"/>
  </si>
  <si>
    <r>
      <t>铸铁中片状石墨</t>
    </r>
    <r>
      <rPr>
        <sz val="10"/>
        <rFont val="Arial"/>
        <family val="2"/>
      </rPr>
      <t>,  &lt; 500 N/mm2</t>
    </r>
    <phoneticPr fontId="4"/>
  </si>
  <si>
    <r>
      <t>주철</t>
    </r>
    <r>
      <rPr>
        <sz val="9"/>
        <rFont val="Verdana"/>
        <family val="2"/>
      </rPr>
      <t xml:space="preserve">, </t>
    </r>
    <r>
      <rPr>
        <sz val="9"/>
        <rFont val="돋움"/>
        <family val="3"/>
      </rPr>
      <t>인장강도</t>
    </r>
    <r>
      <rPr>
        <sz val="9"/>
        <rFont val="Verdana"/>
        <family val="2"/>
      </rPr>
      <t xml:space="preserve"> 100 Kg/mm2 </t>
    </r>
    <r>
      <rPr>
        <sz val="9"/>
        <rFont val="돋움"/>
        <family val="3"/>
      </rPr>
      <t>이하</t>
    </r>
    <phoneticPr fontId="4"/>
  </si>
  <si>
    <t>鋳鉄、グラファイト薄板、 &lt; 1000 N/mm2</t>
    <phoneticPr fontId="4"/>
  </si>
  <si>
    <r>
      <t>铸铁中片状石墨</t>
    </r>
    <r>
      <rPr>
        <sz val="10"/>
        <rFont val="Arial"/>
        <family val="2"/>
      </rPr>
      <t>, &lt; 1000 N/mm2</t>
    </r>
    <phoneticPr fontId="4"/>
  </si>
  <si>
    <t>Bild</t>
    <phoneticPr fontId="4"/>
  </si>
  <si>
    <t>Thread Milling only</t>
    <phoneticPr fontId="4"/>
  </si>
  <si>
    <r>
      <t>구상흑연</t>
    </r>
    <r>
      <rPr>
        <sz val="9"/>
        <rFont val="Verdana"/>
        <family val="2"/>
      </rPr>
      <t xml:space="preserve"> </t>
    </r>
    <r>
      <rPr>
        <sz val="9"/>
        <rFont val="돋움"/>
        <family val="3"/>
      </rPr>
      <t>주철</t>
    </r>
    <r>
      <rPr>
        <sz val="9"/>
        <rFont val="Verdana"/>
        <family val="2"/>
      </rPr>
      <t xml:space="preserve">, </t>
    </r>
    <r>
      <rPr>
        <sz val="9"/>
        <rFont val="돋움"/>
        <family val="3"/>
      </rPr>
      <t>인장강도</t>
    </r>
    <r>
      <rPr>
        <sz val="9"/>
        <rFont val="Verdana"/>
        <family val="2"/>
      </rPr>
      <t xml:space="preserve"> 70 Kg/mm2 </t>
    </r>
    <r>
      <rPr>
        <sz val="9"/>
        <rFont val="돋움"/>
        <family val="3"/>
      </rPr>
      <t>이하</t>
    </r>
    <phoneticPr fontId="4"/>
  </si>
  <si>
    <t>ダクタイル鋳鉄、（マレーブル）, &lt; 700 N/mm2</t>
    <phoneticPr fontId="4"/>
  </si>
  <si>
    <r>
      <t>球狀石墨鑄鐵</t>
    </r>
    <r>
      <rPr>
        <sz val="9"/>
        <rFont val="Verdana"/>
        <family val="2"/>
      </rPr>
      <t xml:space="preserve">, </t>
    </r>
    <r>
      <rPr>
        <sz val="9"/>
        <rFont val="細明體"/>
        <family val="3"/>
      </rPr>
      <t>可鍛鑄鐵</t>
    </r>
    <r>
      <rPr>
        <sz val="9"/>
        <rFont val="Verdana"/>
        <family val="2"/>
      </rPr>
      <t>, &lt; 700 N/mm2</t>
    </r>
    <phoneticPr fontId="4"/>
  </si>
  <si>
    <r>
      <t>铸铁</t>
    </r>
    <r>
      <rPr>
        <sz val="10"/>
        <rFont val="Arial"/>
        <family val="2"/>
      </rPr>
      <t xml:space="preserve">, </t>
    </r>
    <r>
      <rPr>
        <sz val="10"/>
        <rFont val="宋体"/>
        <charset val="129"/>
      </rPr>
      <t>球墨铸铁</t>
    </r>
    <r>
      <rPr>
        <sz val="10"/>
        <rFont val="Arial"/>
        <family val="2"/>
      </rPr>
      <t xml:space="preserve">, </t>
    </r>
    <r>
      <rPr>
        <sz val="10"/>
        <rFont val="宋体"/>
        <charset val="129"/>
      </rPr>
      <t>可锻铸铁</t>
    </r>
    <r>
      <rPr>
        <sz val="10"/>
        <rFont val="Arial"/>
        <family val="2"/>
      </rPr>
      <t xml:space="preserve"> &lt; 700 N/mm2</t>
    </r>
    <phoneticPr fontId="4"/>
  </si>
  <si>
    <t>Thread Milling with Chamfering</t>
    <phoneticPr fontId="4"/>
  </si>
  <si>
    <t>Bild</t>
    <phoneticPr fontId="4"/>
  </si>
  <si>
    <r>
      <t>구상흑연</t>
    </r>
    <r>
      <rPr>
        <sz val="9"/>
        <rFont val="Verdana"/>
        <family val="2"/>
      </rPr>
      <t xml:space="preserve"> </t>
    </r>
    <r>
      <rPr>
        <sz val="9"/>
        <rFont val="돋움"/>
        <family val="3"/>
      </rPr>
      <t>주철</t>
    </r>
    <r>
      <rPr>
        <sz val="9"/>
        <rFont val="Verdana"/>
        <family val="2"/>
      </rPr>
      <t xml:space="preserve">, </t>
    </r>
    <r>
      <rPr>
        <sz val="9"/>
        <rFont val="돋움"/>
        <family val="3"/>
      </rPr>
      <t>인장강도</t>
    </r>
    <r>
      <rPr>
        <sz val="9"/>
        <rFont val="Verdana"/>
        <family val="2"/>
      </rPr>
      <t xml:space="preserve"> 100 Kg/mm2 </t>
    </r>
    <r>
      <rPr>
        <sz val="9"/>
        <rFont val="돋움"/>
        <family val="3"/>
      </rPr>
      <t>이하</t>
    </r>
    <phoneticPr fontId="4"/>
  </si>
  <si>
    <t>ダクタイル鋳鉄、（マレーブル）, &lt; 1000 N/mm2</t>
    <phoneticPr fontId="4"/>
  </si>
  <si>
    <r>
      <t>球狀石墨鑄鐵</t>
    </r>
    <r>
      <rPr>
        <sz val="9"/>
        <rFont val="Verdana"/>
        <family val="2"/>
      </rPr>
      <t xml:space="preserve">, </t>
    </r>
    <r>
      <rPr>
        <sz val="9"/>
        <rFont val="細明體"/>
        <family val="3"/>
      </rPr>
      <t>可鍛鑄鐵</t>
    </r>
    <r>
      <rPr>
        <sz val="9"/>
        <rFont val="Verdana"/>
        <family val="2"/>
      </rPr>
      <t>, &lt; 1000 N/mm2</t>
    </r>
    <phoneticPr fontId="4"/>
  </si>
  <si>
    <r>
      <t>铸铁</t>
    </r>
    <r>
      <rPr>
        <sz val="10"/>
        <rFont val="Arial"/>
        <family val="2"/>
      </rPr>
      <t xml:space="preserve">, </t>
    </r>
    <r>
      <rPr>
        <sz val="10"/>
        <rFont val="宋体"/>
        <charset val="129"/>
      </rPr>
      <t>球墨铸铁</t>
    </r>
    <r>
      <rPr>
        <sz val="10"/>
        <rFont val="Arial"/>
        <family val="2"/>
      </rPr>
      <t xml:space="preserve">, </t>
    </r>
    <r>
      <rPr>
        <sz val="10"/>
        <rFont val="宋体"/>
        <charset val="129"/>
      </rPr>
      <t>可锻铸铁</t>
    </r>
    <r>
      <rPr>
        <sz val="10"/>
        <rFont val="Arial"/>
        <family val="2"/>
      </rPr>
      <t xml:space="preserve"> &lt; 1000 N/mm2</t>
    </r>
    <phoneticPr fontId="4"/>
  </si>
  <si>
    <t>Thread Milling with Drilling&amp;Chamfering</t>
    <phoneticPr fontId="4"/>
  </si>
  <si>
    <t>스테인리스 스틸(쾌삭용)</t>
    <phoneticPr fontId="4"/>
  </si>
  <si>
    <t>ステンレス鋼、快削系</t>
    <phoneticPr fontId="4"/>
  </si>
  <si>
    <r>
      <t>不鏽鋼</t>
    </r>
    <r>
      <rPr>
        <sz val="9"/>
        <rFont val="Verdana"/>
        <family val="2"/>
      </rPr>
      <t>, Austenitic</t>
    </r>
    <r>
      <rPr>
        <sz val="9"/>
        <rFont val="細明體"/>
        <family val="3"/>
      </rPr>
      <t>系列，如</t>
    </r>
    <r>
      <rPr>
        <sz val="9"/>
        <rFont val="Verdana"/>
        <family val="2"/>
      </rPr>
      <t>SUS304/SUS316</t>
    </r>
    <phoneticPr fontId="4"/>
  </si>
  <si>
    <r>
      <t>不锈钢</t>
    </r>
    <r>
      <rPr>
        <sz val="10"/>
        <rFont val="Arial"/>
        <family val="2"/>
      </rPr>
      <t xml:space="preserve">, </t>
    </r>
    <r>
      <rPr>
        <sz val="10"/>
        <rFont val="宋体"/>
        <charset val="129"/>
      </rPr>
      <t>易切削</t>
    </r>
    <phoneticPr fontId="4"/>
  </si>
  <si>
    <r>
      <t>스테인리스</t>
    </r>
    <r>
      <rPr>
        <sz val="9"/>
        <rFont val="Verdana"/>
        <family val="2"/>
      </rPr>
      <t xml:space="preserve"> </t>
    </r>
    <r>
      <rPr>
        <sz val="9"/>
        <rFont val="돋움"/>
        <family val="3"/>
      </rPr>
      <t>스틸</t>
    </r>
    <r>
      <rPr>
        <sz val="9"/>
        <rFont val="Verdana"/>
        <family val="2"/>
      </rPr>
      <t xml:space="preserve">, SUS 3xx </t>
    </r>
    <r>
      <rPr>
        <sz val="9"/>
        <rFont val="돋움"/>
        <family val="3"/>
      </rPr>
      <t>계열</t>
    </r>
    <phoneticPr fontId="4"/>
  </si>
  <si>
    <t>ステンレス鋼（オーステナイト系）</t>
    <phoneticPr fontId="4"/>
  </si>
  <si>
    <r>
      <t>不鏽鋼</t>
    </r>
    <r>
      <rPr>
        <sz val="9"/>
        <rFont val="Verdana"/>
        <family val="2"/>
      </rPr>
      <t>, Ferritic</t>
    </r>
    <r>
      <rPr>
        <sz val="9"/>
        <rFont val="細明體"/>
        <family val="3"/>
      </rPr>
      <t>系列，如</t>
    </r>
    <r>
      <rPr>
        <sz val="9"/>
        <rFont val="Verdana"/>
        <family val="2"/>
      </rPr>
      <t>SUS430/SUS434</t>
    </r>
    <phoneticPr fontId="4"/>
  </si>
  <si>
    <r>
      <t>不锈钢</t>
    </r>
    <r>
      <rPr>
        <sz val="10"/>
        <rFont val="Arial"/>
        <family val="2"/>
      </rPr>
      <t xml:space="preserve">, </t>
    </r>
    <r>
      <rPr>
        <sz val="10"/>
        <rFont val="宋体"/>
        <charset val="129"/>
      </rPr>
      <t>奥氏体</t>
    </r>
    <phoneticPr fontId="4"/>
  </si>
  <si>
    <t>스테인리스 스틸, SUS 4xx 계열</t>
    <phoneticPr fontId="4"/>
  </si>
  <si>
    <t>ステンレス鋼（フェライト系、オーステナイト系）</t>
    <phoneticPr fontId="4"/>
  </si>
  <si>
    <r>
      <t>不鏽鋼</t>
    </r>
    <r>
      <rPr>
        <sz val="9"/>
        <rFont val="Verdana"/>
        <family val="2"/>
      </rPr>
      <t>, Martensitic</t>
    </r>
    <r>
      <rPr>
        <sz val="9"/>
        <rFont val="細明體"/>
        <family val="3"/>
      </rPr>
      <t>系列，如</t>
    </r>
    <r>
      <rPr>
        <sz val="9"/>
        <rFont val="Verdana"/>
        <family val="2"/>
      </rPr>
      <t>SUS420/SUS440</t>
    </r>
    <phoneticPr fontId="4"/>
  </si>
  <si>
    <r>
      <t>不锈钢</t>
    </r>
    <r>
      <rPr>
        <sz val="10"/>
        <rFont val="Arial"/>
        <family val="2"/>
      </rPr>
      <t xml:space="preserve">, </t>
    </r>
    <r>
      <rPr>
        <sz val="10"/>
        <rFont val="宋体"/>
        <charset val="129"/>
      </rPr>
      <t>铁素体和奥氏体</t>
    </r>
    <phoneticPr fontId="4"/>
  </si>
  <si>
    <t>O.D. Taper</t>
    <phoneticPr fontId="4"/>
  </si>
  <si>
    <r>
      <t>순수</t>
    </r>
    <r>
      <rPr>
        <sz val="9"/>
        <rFont val="Verdana"/>
        <family val="2"/>
      </rPr>
      <t xml:space="preserve"> </t>
    </r>
    <r>
      <rPr>
        <sz val="9"/>
        <rFont val="돋움"/>
        <family val="3"/>
      </rPr>
      <t>티타늄</t>
    </r>
    <r>
      <rPr>
        <sz val="9"/>
        <rFont val="Verdana"/>
        <family val="2"/>
      </rPr>
      <t xml:space="preserve">, </t>
    </r>
    <r>
      <rPr>
        <sz val="9"/>
        <rFont val="돋움"/>
        <family val="3"/>
      </rPr>
      <t>인장강도</t>
    </r>
    <r>
      <rPr>
        <sz val="9"/>
        <rFont val="Verdana"/>
        <family val="2"/>
      </rPr>
      <t xml:space="preserve"> 70 Kg/mm2 </t>
    </r>
    <r>
      <rPr>
        <sz val="9"/>
        <rFont val="돋움"/>
        <family val="3"/>
      </rPr>
      <t>이하</t>
    </r>
    <phoneticPr fontId="4"/>
  </si>
  <si>
    <t>チタン, &lt; 700 N/mm2</t>
    <phoneticPr fontId="4"/>
  </si>
  <si>
    <r>
      <t>純鈦</t>
    </r>
    <r>
      <rPr>
        <sz val="9"/>
        <rFont val="Verdana"/>
        <family val="2"/>
      </rPr>
      <t>, &lt; 700 N/mm2</t>
    </r>
    <phoneticPr fontId="4"/>
  </si>
  <si>
    <r>
      <t>纯钛</t>
    </r>
    <r>
      <rPr>
        <sz val="10"/>
        <rFont val="Arial"/>
        <family val="2"/>
      </rPr>
      <t>, &lt; 700 N/mm2</t>
    </r>
    <phoneticPr fontId="4"/>
  </si>
  <si>
    <r>
      <t>3</t>
    </r>
    <r>
      <rPr>
        <sz val="10"/>
        <color indexed="10"/>
        <rFont val="돋움"/>
        <family val="3"/>
        <charset val="129"/>
      </rPr>
      <t>산</t>
    </r>
    <phoneticPr fontId="4"/>
  </si>
  <si>
    <t>Type</t>
    <phoneticPr fontId="4"/>
  </si>
  <si>
    <r>
      <t>티타늄</t>
    </r>
    <r>
      <rPr>
        <sz val="9"/>
        <rFont val="Verdana"/>
        <family val="2"/>
      </rPr>
      <t xml:space="preserve"> </t>
    </r>
    <r>
      <rPr>
        <sz val="9"/>
        <rFont val="돋움"/>
        <family val="3"/>
      </rPr>
      <t>합금</t>
    </r>
    <r>
      <rPr>
        <sz val="9"/>
        <rFont val="Verdana"/>
        <family val="2"/>
      </rPr>
      <t xml:space="preserve">, </t>
    </r>
    <r>
      <rPr>
        <sz val="9"/>
        <rFont val="돋움"/>
        <family val="3"/>
      </rPr>
      <t>인장강도</t>
    </r>
    <r>
      <rPr>
        <sz val="9"/>
        <rFont val="Verdana"/>
        <family val="2"/>
      </rPr>
      <t xml:space="preserve"> 90 Kg/mm2 </t>
    </r>
    <r>
      <rPr>
        <sz val="9"/>
        <rFont val="돋움"/>
        <family val="3"/>
      </rPr>
      <t>이하</t>
    </r>
    <phoneticPr fontId="4"/>
  </si>
  <si>
    <t>チタン合金, &lt; 900 N/mm2</t>
    <phoneticPr fontId="4"/>
  </si>
  <si>
    <r>
      <t>鈦合金</t>
    </r>
    <r>
      <rPr>
        <sz val="9"/>
        <rFont val="Verdana"/>
        <family val="2"/>
      </rPr>
      <t>, &lt; 900 N/mm2</t>
    </r>
    <phoneticPr fontId="4"/>
  </si>
  <si>
    <r>
      <t>钛合金</t>
    </r>
    <r>
      <rPr>
        <sz val="10"/>
        <rFont val="Arial"/>
        <family val="2"/>
      </rPr>
      <t>, &lt; 900 N/mm2</t>
    </r>
    <phoneticPr fontId="4"/>
  </si>
  <si>
    <r>
      <t>2</t>
    </r>
    <r>
      <rPr>
        <sz val="10"/>
        <color indexed="10"/>
        <rFont val="돋움"/>
        <family val="3"/>
        <charset val="129"/>
      </rPr>
      <t>산</t>
    </r>
    <phoneticPr fontId="28" type="noConversion"/>
  </si>
  <si>
    <r>
      <t>티타늄</t>
    </r>
    <r>
      <rPr>
        <sz val="9"/>
        <rFont val="Verdana"/>
        <family val="2"/>
      </rPr>
      <t xml:space="preserve"> </t>
    </r>
    <r>
      <rPr>
        <sz val="9"/>
        <rFont val="돋움"/>
        <family val="3"/>
      </rPr>
      <t>합금</t>
    </r>
    <r>
      <rPr>
        <sz val="9"/>
        <rFont val="Verdana"/>
        <family val="2"/>
      </rPr>
      <t xml:space="preserve">, </t>
    </r>
    <r>
      <rPr>
        <sz val="9"/>
        <rFont val="돋움"/>
        <family val="3"/>
      </rPr>
      <t>인장강도</t>
    </r>
    <r>
      <rPr>
        <sz val="9"/>
        <rFont val="Verdana"/>
        <family val="2"/>
      </rPr>
      <t xml:space="preserve"> 125 Kg/mm2 </t>
    </r>
    <r>
      <rPr>
        <sz val="9"/>
        <rFont val="돋움"/>
        <family val="3"/>
      </rPr>
      <t>이하</t>
    </r>
    <phoneticPr fontId="4"/>
  </si>
  <si>
    <t>チタン合金, &lt; 1250N/mm2</t>
    <phoneticPr fontId="4"/>
  </si>
  <si>
    <r>
      <t>鈦合金</t>
    </r>
    <r>
      <rPr>
        <sz val="9"/>
        <rFont val="Verdana"/>
        <family val="2"/>
      </rPr>
      <t>, &lt; 1250 N/mm2</t>
    </r>
    <phoneticPr fontId="4"/>
  </si>
  <si>
    <r>
      <t>钛合金</t>
    </r>
    <r>
      <rPr>
        <sz val="10"/>
        <rFont val="Arial"/>
        <family val="2"/>
      </rPr>
      <t>, &lt; 1250 N/mm2</t>
    </r>
    <phoneticPr fontId="4"/>
  </si>
  <si>
    <r>
      <t>1</t>
    </r>
    <r>
      <rPr>
        <sz val="10"/>
        <color indexed="10"/>
        <rFont val="돋움"/>
        <family val="3"/>
        <charset val="129"/>
      </rPr>
      <t>산</t>
    </r>
    <phoneticPr fontId="4"/>
  </si>
  <si>
    <r>
      <t>순수</t>
    </r>
    <r>
      <rPr>
        <sz val="9"/>
        <rFont val="Verdana"/>
        <family val="2"/>
      </rPr>
      <t xml:space="preserve"> </t>
    </r>
    <r>
      <rPr>
        <sz val="9"/>
        <rFont val="돋움"/>
        <family val="3"/>
      </rPr>
      <t>니켈</t>
    </r>
    <r>
      <rPr>
        <sz val="9"/>
        <rFont val="Verdana"/>
        <family val="2"/>
      </rPr>
      <t xml:space="preserve">, </t>
    </r>
    <r>
      <rPr>
        <sz val="9"/>
        <rFont val="돋움"/>
        <family val="3"/>
      </rPr>
      <t>인장강도</t>
    </r>
    <r>
      <rPr>
        <sz val="9"/>
        <rFont val="Verdana"/>
        <family val="2"/>
      </rPr>
      <t xml:space="preserve"> 50 Kg/mm2 </t>
    </r>
    <r>
      <rPr>
        <sz val="9"/>
        <rFont val="돋움"/>
        <family val="3"/>
      </rPr>
      <t>이하</t>
    </r>
    <phoneticPr fontId="4"/>
  </si>
  <si>
    <t>ニッケル, &lt; 500 N/mm2</t>
    <phoneticPr fontId="4"/>
  </si>
  <si>
    <r>
      <t>純鎳</t>
    </r>
    <r>
      <rPr>
        <sz val="9"/>
        <rFont val="Verdana"/>
        <family val="2"/>
      </rPr>
      <t>, &lt; 500 N/mm2</t>
    </r>
    <phoneticPr fontId="4"/>
  </si>
  <si>
    <r>
      <t>纯镍</t>
    </r>
    <r>
      <rPr>
        <sz val="10"/>
        <rFont val="Arial"/>
        <family val="2"/>
      </rPr>
      <t>, &lt; 500 N/mm2</t>
    </r>
    <phoneticPr fontId="4"/>
  </si>
  <si>
    <r>
      <t>니켈</t>
    </r>
    <r>
      <rPr>
        <sz val="9"/>
        <rFont val="Verdana"/>
        <family val="2"/>
      </rPr>
      <t xml:space="preserve"> </t>
    </r>
    <r>
      <rPr>
        <sz val="9"/>
        <rFont val="돋움"/>
        <family val="3"/>
      </rPr>
      <t>합금</t>
    </r>
    <r>
      <rPr>
        <sz val="9"/>
        <rFont val="Verdana"/>
        <family val="2"/>
      </rPr>
      <t xml:space="preserve">, </t>
    </r>
    <r>
      <rPr>
        <sz val="9"/>
        <rFont val="돋움"/>
        <family val="3"/>
      </rPr>
      <t>인장강도</t>
    </r>
    <r>
      <rPr>
        <sz val="9"/>
        <rFont val="Verdana"/>
        <family val="2"/>
      </rPr>
      <t xml:space="preserve"> 90 Kg/mm2 </t>
    </r>
    <r>
      <rPr>
        <sz val="9"/>
        <rFont val="돋움"/>
        <family val="3"/>
      </rPr>
      <t>이하</t>
    </r>
    <phoneticPr fontId="4"/>
  </si>
  <si>
    <t>ニッケル合金、 &lt; 900 N/mm2</t>
    <phoneticPr fontId="4"/>
  </si>
  <si>
    <r>
      <t>鎳合金</t>
    </r>
    <r>
      <rPr>
        <sz val="9"/>
        <rFont val="Verdana"/>
        <family val="2"/>
      </rPr>
      <t>, &lt; 900 N/mm2</t>
    </r>
    <phoneticPr fontId="4"/>
  </si>
  <si>
    <r>
      <t>镍合金</t>
    </r>
    <r>
      <rPr>
        <sz val="10"/>
        <rFont val="Arial"/>
        <family val="2"/>
      </rPr>
      <t>, &lt; 900 N/mm2</t>
    </r>
    <phoneticPr fontId="4"/>
  </si>
  <si>
    <r>
      <t>니켈</t>
    </r>
    <r>
      <rPr>
        <sz val="9"/>
        <rFont val="Verdana"/>
        <family val="2"/>
      </rPr>
      <t xml:space="preserve"> </t>
    </r>
    <r>
      <rPr>
        <sz val="9"/>
        <rFont val="돋움"/>
        <family val="3"/>
      </rPr>
      <t>합금</t>
    </r>
    <r>
      <rPr>
        <sz val="9"/>
        <rFont val="Verdana"/>
        <family val="2"/>
      </rPr>
      <t xml:space="preserve">, </t>
    </r>
    <r>
      <rPr>
        <sz val="9"/>
        <rFont val="돋움"/>
        <family val="3"/>
      </rPr>
      <t>인장강도</t>
    </r>
    <r>
      <rPr>
        <sz val="9"/>
        <rFont val="Verdana"/>
        <family val="2"/>
      </rPr>
      <t xml:space="preserve"> 125 Kg/mm2 </t>
    </r>
    <r>
      <rPr>
        <sz val="9"/>
        <rFont val="돋움"/>
        <family val="3"/>
      </rPr>
      <t>이하</t>
    </r>
    <phoneticPr fontId="4"/>
  </si>
  <si>
    <t>ニッケル合金、 &lt; 1250 N/mm3</t>
    <phoneticPr fontId="4"/>
  </si>
  <si>
    <r>
      <t>鎳合金</t>
    </r>
    <r>
      <rPr>
        <sz val="9"/>
        <rFont val="Verdana"/>
        <family val="2"/>
      </rPr>
      <t>, &lt; 1250 N/mm2</t>
    </r>
    <phoneticPr fontId="4"/>
  </si>
  <si>
    <r>
      <t>镍合金</t>
    </r>
    <r>
      <rPr>
        <sz val="10"/>
        <rFont val="Arial"/>
        <family val="2"/>
      </rPr>
      <t>, &lt; 1250 N/mm2</t>
    </r>
    <phoneticPr fontId="4"/>
  </si>
  <si>
    <t>L/P</t>
    <phoneticPr fontId="4"/>
  </si>
  <si>
    <r>
      <t>순동</t>
    </r>
    <r>
      <rPr>
        <sz val="9"/>
        <rFont val="Verdana"/>
        <family val="2"/>
      </rPr>
      <t xml:space="preserve">, </t>
    </r>
    <r>
      <rPr>
        <sz val="9"/>
        <rFont val="돋움"/>
        <family val="3"/>
      </rPr>
      <t>인장강도</t>
    </r>
    <r>
      <rPr>
        <sz val="9"/>
        <rFont val="Verdana"/>
        <family val="2"/>
      </rPr>
      <t xml:space="preserve"> 35 Kg/mm2 </t>
    </r>
    <r>
      <rPr>
        <sz val="9"/>
        <rFont val="돋움"/>
        <family val="3"/>
      </rPr>
      <t>이하</t>
    </r>
    <phoneticPr fontId="4"/>
  </si>
  <si>
    <t>銅、 &lt; 350 N/mm2</t>
    <phoneticPr fontId="4"/>
  </si>
  <si>
    <r>
      <t>純銅</t>
    </r>
    <r>
      <rPr>
        <sz val="9"/>
        <rFont val="Verdana"/>
        <family val="2"/>
      </rPr>
      <t>, &lt; 350 N/mm2</t>
    </r>
    <phoneticPr fontId="4"/>
  </si>
  <si>
    <r>
      <t>纯铜</t>
    </r>
    <r>
      <rPr>
        <sz val="10"/>
        <rFont val="Arial"/>
        <family val="2"/>
      </rPr>
      <t>, &lt; 350 N/mm2</t>
    </r>
    <phoneticPr fontId="4"/>
  </si>
  <si>
    <r>
      <t>1</t>
    </r>
    <r>
      <rPr>
        <sz val="10"/>
        <rFont val="돋움"/>
        <family val="3"/>
        <charset val="129"/>
      </rPr>
      <t>산제품일때 축방향 PASS</t>
    </r>
    <phoneticPr fontId="4"/>
  </si>
  <si>
    <r>
      <t>동</t>
    </r>
    <r>
      <rPr>
        <sz val="9"/>
        <rFont val="Verdana"/>
        <family val="2"/>
      </rPr>
      <t xml:space="preserve">, </t>
    </r>
    <r>
      <rPr>
        <sz val="9"/>
        <rFont val="돋움"/>
        <family val="3"/>
      </rPr>
      <t>황동</t>
    </r>
    <r>
      <rPr>
        <sz val="9"/>
        <rFont val="Verdana"/>
        <family val="2"/>
      </rPr>
      <t xml:space="preserve">, </t>
    </r>
    <r>
      <rPr>
        <sz val="9"/>
        <rFont val="돋움"/>
        <family val="3"/>
      </rPr>
      <t>청동</t>
    </r>
    <r>
      <rPr>
        <sz val="9"/>
        <rFont val="Verdana"/>
        <family val="2"/>
      </rPr>
      <t xml:space="preserve">, </t>
    </r>
    <r>
      <rPr>
        <sz val="9"/>
        <rFont val="돋움"/>
        <family val="3"/>
      </rPr>
      <t>인장강도</t>
    </r>
    <r>
      <rPr>
        <sz val="9"/>
        <rFont val="Verdana"/>
        <family val="2"/>
      </rPr>
      <t xml:space="preserve"> 70 Kg/mm2 </t>
    </r>
    <r>
      <rPr>
        <sz val="9"/>
        <rFont val="돋움"/>
        <family val="3"/>
      </rPr>
      <t>이하</t>
    </r>
    <phoneticPr fontId="4"/>
  </si>
  <si>
    <t>銅、真鍮、青銅, &lt; 700 N/mm2</t>
    <phoneticPr fontId="4"/>
  </si>
  <si>
    <r>
      <t>銅</t>
    </r>
    <r>
      <rPr>
        <sz val="9"/>
        <rFont val="Verdana"/>
        <family val="2"/>
      </rPr>
      <t xml:space="preserve">, </t>
    </r>
    <r>
      <rPr>
        <sz val="9"/>
        <rFont val="細明體"/>
        <family val="3"/>
      </rPr>
      <t>黃銅</t>
    </r>
    <r>
      <rPr>
        <sz val="9"/>
        <rFont val="Verdana"/>
        <family val="2"/>
      </rPr>
      <t xml:space="preserve">, </t>
    </r>
    <r>
      <rPr>
        <sz val="9"/>
        <rFont val="細明體"/>
        <family val="3"/>
      </rPr>
      <t>青銅</t>
    </r>
    <r>
      <rPr>
        <sz val="9"/>
        <rFont val="Verdana"/>
        <family val="2"/>
      </rPr>
      <t>, &lt; 700 N/mm2</t>
    </r>
    <phoneticPr fontId="4"/>
  </si>
  <si>
    <r>
      <t>铜</t>
    </r>
    <r>
      <rPr>
        <sz val="10"/>
        <rFont val="Arial"/>
        <family val="2"/>
      </rPr>
      <t xml:space="preserve">, </t>
    </r>
    <r>
      <rPr>
        <sz val="10"/>
        <rFont val="宋体"/>
        <charset val="129"/>
      </rPr>
      <t>黄铜</t>
    </r>
    <r>
      <rPr>
        <sz val="10"/>
        <rFont val="Arial"/>
        <family val="2"/>
      </rPr>
      <t xml:space="preserve">, </t>
    </r>
    <r>
      <rPr>
        <sz val="10"/>
        <rFont val="宋体"/>
        <charset val="129"/>
      </rPr>
      <t>青铜</t>
    </r>
    <r>
      <rPr>
        <sz val="10"/>
        <rFont val="Arial"/>
        <family val="2"/>
      </rPr>
      <t>, &lt; 700 N/mm2</t>
    </r>
    <phoneticPr fontId="4"/>
  </si>
  <si>
    <r>
      <t xml:space="preserve">Taper </t>
    </r>
    <r>
      <rPr>
        <b/>
        <sz val="9"/>
        <color indexed="10"/>
        <rFont val="돋움"/>
        <family val="3"/>
        <charset val="129"/>
      </rPr>
      <t>경우</t>
    </r>
    <phoneticPr fontId="4"/>
  </si>
  <si>
    <t>Do(compen.)</t>
    <phoneticPr fontId="4"/>
  </si>
  <si>
    <r>
      <t>동</t>
    </r>
    <r>
      <rPr>
        <sz val="9"/>
        <rFont val="Verdana"/>
        <family val="2"/>
      </rPr>
      <t xml:space="preserve">, </t>
    </r>
    <r>
      <rPr>
        <sz val="9"/>
        <rFont val="돋움"/>
        <family val="3"/>
      </rPr>
      <t>고강도</t>
    </r>
    <r>
      <rPr>
        <sz val="9"/>
        <rFont val="Verdana"/>
        <family val="2"/>
      </rPr>
      <t xml:space="preserve"> </t>
    </r>
    <r>
      <rPr>
        <sz val="9"/>
        <rFont val="돋움"/>
        <family val="3"/>
      </rPr>
      <t>청동</t>
    </r>
    <r>
      <rPr>
        <sz val="9"/>
        <rFont val="Verdana"/>
        <family val="2"/>
      </rPr>
      <t xml:space="preserve">, </t>
    </r>
    <r>
      <rPr>
        <sz val="9"/>
        <rFont val="돋움"/>
        <family val="3"/>
      </rPr>
      <t>인장강도</t>
    </r>
    <r>
      <rPr>
        <sz val="9"/>
        <rFont val="Verdana"/>
        <family val="2"/>
      </rPr>
      <t xml:space="preserve"> 150 Kg/mm2 </t>
    </r>
    <r>
      <rPr>
        <sz val="9"/>
        <rFont val="돋움"/>
        <family val="3"/>
      </rPr>
      <t>이하</t>
    </r>
    <phoneticPr fontId="4"/>
  </si>
  <si>
    <t>銅、高抗張力青銅, &lt; 1500 N/mm2</t>
    <phoneticPr fontId="4"/>
  </si>
  <si>
    <r>
      <t>銅</t>
    </r>
    <r>
      <rPr>
        <sz val="9"/>
        <rFont val="Verdana"/>
        <family val="2"/>
      </rPr>
      <t xml:space="preserve">, </t>
    </r>
    <r>
      <rPr>
        <sz val="9"/>
        <rFont val="細明體"/>
        <family val="3"/>
      </rPr>
      <t>高張力青銅</t>
    </r>
    <r>
      <rPr>
        <sz val="9"/>
        <rFont val="Verdana"/>
        <family val="2"/>
      </rPr>
      <t>, &lt; 1500 N/mm2</t>
    </r>
    <phoneticPr fontId="4"/>
  </si>
  <si>
    <r>
      <t>铜</t>
    </r>
    <r>
      <rPr>
        <sz val="10"/>
        <rFont val="Arial"/>
        <family val="2"/>
      </rPr>
      <t xml:space="preserve">, </t>
    </r>
    <r>
      <rPr>
        <sz val="10"/>
        <rFont val="宋体"/>
        <charset val="129"/>
      </rPr>
      <t>高强度青铜</t>
    </r>
    <r>
      <rPr>
        <sz val="10"/>
        <rFont val="Arial"/>
        <family val="2"/>
      </rPr>
      <t>, &lt; 1500 N/mm2</t>
    </r>
    <phoneticPr fontId="4"/>
  </si>
  <si>
    <t>Re(arc off)</t>
    <phoneticPr fontId="4"/>
  </si>
  <si>
    <t>Pass</t>
    <phoneticPr fontId="4"/>
  </si>
  <si>
    <r>
      <t>순수</t>
    </r>
    <r>
      <rPr>
        <sz val="9"/>
        <rFont val="Verdana"/>
        <family val="2"/>
      </rPr>
      <t xml:space="preserve"> </t>
    </r>
    <r>
      <rPr>
        <sz val="9"/>
        <rFont val="돋움"/>
        <family val="3"/>
      </rPr>
      <t>알루미늄</t>
    </r>
    <phoneticPr fontId="4"/>
  </si>
  <si>
    <t>アルミ</t>
    <phoneticPr fontId="4"/>
  </si>
  <si>
    <t>純鋁</t>
    <phoneticPr fontId="4"/>
  </si>
  <si>
    <t>纯铝</t>
    <phoneticPr fontId="4"/>
  </si>
  <si>
    <r>
      <t>알루미늄</t>
    </r>
    <r>
      <rPr>
        <sz val="9"/>
        <rFont val="Verdana"/>
        <family val="2"/>
      </rPr>
      <t xml:space="preserve"> </t>
    </r>
    <r>
      <rPr>
        <sz val="9"/>
        <rFont val="돋움"/>
        <family val="3"/>
      </rPr>
      <t>합금</t>
    </r>
    <r>
      <rPr>
        <sz val="9"/>
        <rFont val="Verdana"/>
        <family val="2"/>
      </rPr>
      <t xml:space="preserve">, </t>
    </r>
    <r>
      <rPr>
        <sz val="9"/>
        <rFont val="돋움"/>
        <family val="3"/>
      </rPr>
      <t>실리콘</t>
    </r>
    <r>
      <rPr>
        <sz val="9"/>
        <rFont val="Verdana"/>
        <family val="2"/>
      </rPr>
      <t xml:space="preserve"> 0.5% </t>
    </r>
    <r>
      <rPr>
        <sz val="9"/>
        <rFont val="돋움"/>
        <family val="3"/>
      </rPr>
      <t>이하</t>
    </r>
    <phoneticPr fontId="4"/>
  </si>
  <si>
    <t>アルミ合金, &lt; 0.5% Si</t>
    <phoneticPr fontId="4"/>
  </si>
  <si>
    <r>
      <t>鋁合金</t>
    </r>
    <r>
      <rPr>
        <sz val="9"/>
        <rFont val="Verdana"/>
        <family val="2"/>
      </rPr>
      <t xml:space="preserve">, &lt; 0.5% </t>
    </r>
    <r>
      <rPr>
        <sz val="9"/>
        <rFont val="細明體"/>
        <family val="3"/>
      </rPr>
      <t>矽</t>
    </r>
    <phoneticPr fontId="4"/>
  </si>
  <si>
    <r>
      <t>铝合金</t>
    </r>
    <r>
      <rPr>
        <sz val="10"/>
        <rFont val="Arial"/>
        <family val="2"/>
      </rPr>
      <t>,  &lt; 0.5% Si</t>
    </r>
    <phoneticPr fontId="4"/>
  </si>
  <si>
    <t>Re(Arc)</t>
    <phoneticPr fontId="4"/>
  </si>
  <si>
    <r>
      <t>알루미늄</t>
    </r>
    <r>
      <rPr>
        <sz val="9"/>
        <rFont val="Verdana"/>
        <family val="2"/>
      </rPr>
      <t xml:space="preserve"> </t>
    </r>
    <r>
      <rPr>
        <sz val="9"/>
        <rFont val="돋움"/>
        <family val="3"/>
      </rPr>
      <t>합금</t>
    </r>
    <r>
      <rPr>
        <sz val="9"/>
        <rFont val="Verdana"/>
        <family val="2"/>
      </rPr>
      <t xml:space="preserve">, </t>
    </r>
    <r>
      <rPr>
        <sz val="9"/>
        <rFont val="돋움"/>
        <family val="3"/>
      </rPr>
      <t>실리콘</t>
    </r>
    <r>
      <rPr>
        <sz val="9"/>
        <rFont val="Verdana"/>
        <family val="2"/>
      </rPr>
      <t xml:space="preserve"> 10% </t>
    </r>
    <r>
      <rPr>
        <sz val="9"/>
        <rFont val="돋움"/>
        <family val="3"/>
      </rPr>
      <t>이하</t>
    </r>
    <phoneticPr fontId="4"/>
  </si>
  <si>
    <t>アルミ合金, &lt; 10% Si</t>
    <phoneticPr fontId="4"/>
  </si>
  <si>
    <r>
      <t>鋁合金</t>
    </r>
    <r>
      <rPr>
        <sz val="9"/>
        <rFont val="Verdana"/>
        <family val="2"/>
      </rPr>
      <t xml:space="preserve">, &lt; 10% </t>
    </r>
    <r>
      <rPr>
        <sz val="9"/>
        <rFont val="細明體"/>
        <family val="3"/>
      </rPr>
      <t>矽</t>
    </r>
    <phoneticPr fontId="4"/>
  </si>
  <si>
    <r>
      <t>铝合金</t>
    </r>
    <r>
      <rPr>
        <sz val="10"/>
        <rFont val="Arial"/>
        <family val="2"/>
      </rPr>
      <t>, &lt; 10% Si</t>
    </r>
    <phoneticPr fontId="4"/>
  </si>
  <si>
    <t>B(Arc Ang.)</t>
    <phoneticPr fontId="4"/>
  </si>
  <si>
    <r>
      <t>알루미늄</t>
    </r>
    <r>
      <rPr>
        <sz val="9"/>
        <rFont val="Verdana"/>
        <family val="2"/>
      </rPr>
      <t xml:space="preserve"> </t>
    </r>
    <r>
      <rPr>
        <sz val="9"/>
        <rFont val="돋움"/>
        <family val="3"/>
      </rPr>
      <t>합금</t>
    </r>
    <r>
      <rPr>
        <sz val="9"/>
        <rFont val="Verdana"/>
        <family val="2"/>
      </rPr>
      <t xml:space="preserve">, </t>
    </r>
    <r>
      <rPr>
        <sz val="9"/>
        <rFont val="돋움"/>
        <family val="3"/>
      </rPr>
      <t>실리콘</t>
    </r>
    <r>
      <rPr>
        <sz val="9"/>
        <rFont val="Verdana"/>
        <family val="2"/>
      </rPr>
      <t xml:space="preserve"> 10% </t>
    </r>
    <r>
      <rPr>
        <sz val="9"/>
        <rFont val="돋움"/>
        <family val="3"/>
      </rPr>
      <t>이상</t>
    </r>
    <phoneticPr fontId="4"/>
  </si>
  <si>
    <t>アルミ合金, &gt; 10% Si</t>
    <phoneticPr fontId="4"/>
  </si>
  <si>
    <r>
      <t>鋁合金</t>
    </r>
    <r>
      <rPr>
        <sz val="9"/>
        <rFont val="Verdana"/>
        <family val="2"/>
      </rPr>
      <t xml:space="preserve">, &gt; 10% </t>
    </r>
    <r>
      <rPr>
        <sz val="9"/>
        <rFont val="細明體"/>
        <family val="3"/>
      </rPr>
      <t>矽</t>
    </r>
    <phoneticPr fontId="4"/>
  </si>
  <si>
    <r>
      <t>铝合金</t>
    </r>
    <r>
      <rPr>
        <sz val="10"/>
        <rFont val="Arial"/>
        <family val="2"/>
      </rPr>
      <t>, &gt; 10% Si</t>
    </r>
    <phoneticPr fontId="4"/>
  </si>
  <si>
    <t>Z(arc)</t>
    <phoneticPr fontId="4"/>
  </si>
  <si>
    <r>
      <t>인코넬</t>
    </r>
    <r>
      <rPr>
        <sz val="9"/>
        <rFont val="Verdana"/>
        <family val="2"/>
      </rPr>
      <t xml:space="preserve"> 718, </t>
    </r>
    <r>
      <rPr>
        <sz val="9"/>
        <rFont val="돋움"/>
        <family val="3"/>
      </rPr>
      <t>초합금</t>
    </r>
    <phoneticPr fontId="4"/>
  </si>
  <si>
    <t>インコネル718</t>
    <phoneticPr fontId="4"/>
  </si>
  <si>
    <r>
      <t>高張力鎳合金，如</t>
    </r>
    <r>
      <rPr>
        <sz val="9"/>
        <rFont val="Verdana"/>
        <family val="2"/>
      </rPr>
      <t>Inconel 718</t>
    </r>
    <phoneticPr fontId="4"/>
  </si>
  <si>
    <r>
      <t>镍基合金</t>
    </r>
    <r>
      <rPr>
        <sz val="10"/>
        <color indexed="8"/>
        <rFont val="Arial"/>
        <family val="2"/>
      </rPr>
      <t xml:space="preserve"> Inconel 718</t>
    </r>
    <phoneticPr fontId="4"/>
  </si>
  <si>
    <t>Approch Y</t>
    <phoneticPr fontId="4"/>
  </si>
  <si>
    <t>흑연</t>
    <phoneticPr fontId="4"/>
  </si>
  <si>
    <t>グラファイト</t>
    <phoneticPr fontId="4"/>
  </si>
  <si>
    <t>石墨</t>
    <phoneticPr fontId="4"/>
  </si>
  <si>
    <t>Approch Z</t>
    <phoneticPr fontId="4"/>
  </si>
  <si>
    <r>
      <t xml:space="preserve">D = </t>
    </r>
    <r>
      <rPr>
        <sz val="9"/>
        <rFont val="돋움"/>
        <family val="3"/>
      </rPr>
      <t>나사</t>
    </r>
    <r>
      <rPr>
        <sz val="9"/>
        <rFont val="Verdana"/>
        <family val="2"/>
      </rPr>
      <t xml:space="preserve"> </t>
    </r>
    <r>
      <rPr>
        <sz val="9"/>
        <rFont val="돋움"/>
        <family val="3"/>
      </rPr>
      <t>직경</t>
    </r>
    <r>
      <rPr>
        <sz val="9"/>
        <rFont val="Verdana"/>
        <family val="2"/>
      </rPr>
      <t xml:space="preserve"> (mm)</t>
    </r>
    <phoneticPr fontId="4"/>
  </si>
  <si>
    <t>Ｄ＝ねじ径（㎜）</t>
    <phoneticPr fontId="4"/>
  </si>
  <si>
    <r>
      <t xml:space="preserve">D = </t>
    </r>
    <r>
      <rPr>
        <sz val="9"/>
        <rFont val="細明體"/>
        <family val="3"/>
      </rPr>
      <t>銑牙外徑</t>
    </r>
    <r>
      <rPr>
        <sz val="9"/>
        <rFont val="Verdana"/>
        <family val="2"/>
      </rPr>
      <t xml:space="preserve"> (mm)</t>
    </r>
    <phoneticPr fontId="4"/>
  </si>
  <si>
    <r>
      <t xml:space="preserve">D = </t>
    </r>
    <r>
      <rPr>
        <sz val="10"/>
        <rFont val="宋体"/>
        <charset val="129"/>
      </rPr>
      <t>螺纹直径</t>
    </r>
    <r>
      <rPr>
        <sz val="10"/>
        <rFont val="Arial"/>
        <family val="2"/>
      </rPr>
      <t xml:space="preserve"> (mm)</t>
    </r>
    <phoneticPr fontId="4"/>
  </si>
  <si>
    <t>Ｐ＝ピッチ（㎜）</t>
    <phoneticPr fontId="4"/>
  </si>
  <si>
    <r>
      <t xml:space="preserve">P = </t>
    </r>
    <r>
      <rPr>
        <sz val="9"/>
        <rFont val="細明體"/>
        <family val="3"/>
      </rPr>
      <t>牙距</t>
    </r>
    <r>
      <rPr>
        <sz val="9"/>
        <rFont val="Verdana"/>
        <family val="2"/>
      </rPr>
      <t xml:space="preserve"> (mm)</t>
    </r>
    <phoneticPr fontId="4"/>
  </si>
  <si>
    <r>
      <t xml:space="preserve">P = </t>
    </r>
    <r>
      <rPr>
        <sz val="10"/>
        <rFont val="宋体"/>
        <charset val="129"/>
      </rPr>
      <t>螺距</t>
    </r>
    <r>
      <rPr>
        <sz val="10"/>
        <rFont val="Arial"/>
        <family val="2"/>
      </rPr>
      <t xml:space="preserve"> (mm)</t>
    </r>
    <phoneticPr fontId="4"/>
  </si>
  <si>
    <t>CL</t>
    <phoneticPr fontId="4"/>
  </si>
  <si>
    <t>Ｐ＝ピッチ（山数）</t>
    <phoneticPr fontId="4"/>
  </si>
  <si>
    <r>
      <t xml:space="preserve">P = </t>
    </r>
    <r>
      <rPr>
        <sz val="9"/>
        <rFont val="細明體"/>
        <family val="3"/>
      </rPr>
      <t>每英吋牙數</t>
    </r>
    <r>
      <rPr>
        <sz val="9"/>
        <rFont val="Verdana"/>
        <family val="2"/>
      </rPr>
      <t xml:space="preserve"> (TPI)</t>
    </r>
    <phoneticPr fontId="4"/>
  </si>
  <si>
    <r>
      <t xml:space="preserve">P = </t>
    </r>
    <r>
      <rPr>
        <sz val="10"/>
        <rFont val="宋体"/>
        <charset val="129"/>
      </rPr>
      <t>螺距</t>
    </r>
    <r>
      <rPr>
        <sz val="10"/>
        <rFont val="Arial"/>
        <family val="2"/>
      </rPr>
      <t xml:space="preserve"> (TPI - </t>
    </r>
    <r>
      <rPr>
        <sz val="10"/>
        <rFont val="宋体"/>
        <charset val="129"/>
      </rPr>
      <t>每英寸牙数</t>
    </r>
    <r>
      <rPr>
        <sz val="10"/>
        <rFont val="Arial"/>
        <family val="2"/>
      </rPr>
      <t>)</t>
    </r>
    <phoneticPr fontId="4"/>
  </si>
  <si>
    <t>Re(Arc)</t>
    <phoneticPr fontId="4"/>
  </si>
  <si>
    <r>
      <t xml:space="preserve">L = </t>
    </r>
    <r>
      <rPr>
        <sz val="9"/>
        <rFont val="돋움"/>
        <family val="3"/>
      </rPr>
      <t>나사</t>
    </r>
    <r>
      <rPr>
        <sz val="9"/>
        <rFont val="Verdana"/>
        <family val="2"/>
      </rPr>
      <t xml:space="preserve"> </t>
    </r>
    <r>
      <rPr>
        <sz val="9"/>
        <rFont val="돋움"/>
        <family val="3"/>
      </rPr>
      <t>길이</t>
    </r>
    <r>
      <rPr>
        <sz val="9"/>
        <rFont val="Verdana"/>
        <family val="2"/>
      </rPr>
      <t xml:space="preserve"> (mm)</t>
    </r>
    <phoneticPr fontId="4"/>
  </si>
  <si>
    <t>Ｌ＝ねじ長さ（㎜）</t>
    <phoneticPr fontId="4"/>
  </si>
  <si>
    <r>
      <t xml:space="preserve">L = </t>
    </r>
    <r>
      <rPr>
        <sz val="9"/>
        <rFont val="細明體"/>
        <family val="3"/>
      </rPr>
      <t>銑牙深度</t>
    </r>
    <r>
      <rPr>
        <sz val="9"/>
        <rFont val="Verdana"/>
        <family val="2"/>
      </rPr>
      <t xml:space="preserve"> (mm)</t>
    </r>
    <phoneticPr fontId="4"/>
  </si>
  <si>
    <r>
      <t xml:space="preserve">L = </t>
    </r>
    <r>
      <rPr>
        <sz val="10"/>
        <rFont val="宋体"/>
        <charset val="129"/>
      </rPr>
      <t>螺纹长度</t>
    </r>
    <r>
      <rPr>
        <sz val="10"/>
        <rFont val="Arial"/>
        <family val="2"/>
      </rPr>
      <t xml:space="preserve"> (mm)</t>
    </r>
    <phoneticPr fontId="4"/>
  </si>
  <si>
    <t>Z(arc)</t>
    <phoneticPr fontId="4"/>
  </si>
  <si>
    <r>
      <t xml:space="preserve">S = </t>
    </r>
    <r>
      <rPr>
        <sz val="9"/>
        <rFont val="돋움"/>
        <family val="3"/>
      </rPr>
      <t>안전</t>
    </r>
    <r>
      <rPr>
        <sz val="9"/>
        <rFont val="Verdana"/>
        <family val="2"/>
      </rPr>
      <t xml:space="preserve"> </t>
    </r>
    <r>
      <rPr>
        <sz val="9"/>
        <rFont val="돋움"/>
        <family val="3"/>
      </rPr>
      <t>거리</t>
    </r>
    <r>
      <rPr>
        <sz val="9"/>
        <rFont val="Verdana"/>
        <family val="2"/>
      </rPr>
      <t xml:space="preserve"> (mm)</t>
    </r>
    <phoneticPr fontId="4"/>
  </si>
  <si>
    <t>Ｓ＝安全な距離（㎜）</t>
    <phoneticPr fontId="4"/>
  </si>
  <si>
    <r>
      <t xml:space="preserve">S = </t>
    </r>
    <r>
      <rPr>
        <sz val="9"/>
        <rFont val="細明體"/>
        <family val="3"/>
      </rPr>
      <t>安全距離</t>
    </r>
    <r>
      <rPr>
        <sz val="9"/>
        <rFont val="Verdana"/>
        <family val="2"/>
      </rPr>
      <t xml:space="preserve"> (mm)</t>
    </r>
    <phoneticPr fontId="4"/>
  </si>
  <si>
    <r>
      <t xml:space="preserve">S = </t>
    </r>
    <r>
      <rPr>
        <sz val="10"/>
        <rFont val="宋体"/>
        <charset val="129"/>
      </rPr>
      <t>安全距离</t>
    </r>
    <r>
      <rPr>
        <sz val="10"/>
        <rFont val="Arial"/>
        <family val="2"/>
      </rPr>
      <t xml:space="preserve"> (mm)</t>
    </r>
    <phoneticPr fontId="4"/>
  </si>
  <si>
    <t>Stål, hærdet, &lt; 45 HRC</t>
  </si>
  <si>
    <t>Stål, hærdet, &lt; 55 HRC</t>
  </si>
  <si>
    <t>Stål, hærdet, &lt; 65 HRC</t>
  </si>
  <si>
    <t>Støbegods GG, &lt; 500N/mm2</t>
  </si>
  <si>
    <t>Ståbegods GG, &lt; 1000N/mm2</t>
  </si>
  <si>
    <t>Støbegods GGG, &lt; 700N/mm2</t>
  </si>
  <si>
    <t>Støbegods GGG, &lt; 1000N/mm2</t>
  </si>
  <si>
    <t>Rustfrit automatstål</t>
  </si>
  <si>
    <t>Rustfrit stål, Austenitisk</t>
  </si>
  <si>
    <t>Rustfrit stål, ferritisk/austenitisk</t>
  </si>
  <si>
    <t>Titanium, ulegeret, &lt; 700 N/mm2</t>
  </si>
  <si>
    <t>Thread</t>
    <phoneticPr fontId="4"/>
  </si>
  <si>
    <t>NPTF - Kuivtihendus, Koonus torukeere</t>
  </si>
  <si>
    <t>NPSF - Torukeere</t>
  </si>
  <si>
    <t>Nikkel, Legeeritud, &lt; 1250 N/mm3</t>
  </si>
  <si>
    <t>Vask, Mittelegeeritud, &lt; 350 N/mm3</t>
  </si>
  <si>
    <t>Vask, Messing, Pronks, &lt; 700 N/mm3</t>
  </si>
  <si>
    <t>Vask, Suure Tugevusega Pronks, &lt; 1500 N/mm3</t>
  </si>
  <si>
    <t>Alumiinium, Mittelegeeritud</t>
  </si>
  <si>
    <t>Alumiinium, Legeeritud, &lt; 0.5% Si</t>
  </si>
  <si>
    <t>Stahl, Kohlenstoffgehalt &lt; 0,25%, &lt; 400 N/mm2</t>
  </si>
  <si>
    <t>NPT - Koonus torukeere</t>
  </si>
  <si>
    <t>Alumiinium, Legeeritud, &lt; 10% Si</t>
  </si>
  <si>
    <t>Alumiinium, Legeeritud, &gt; 10% Si</t>
  </si>
  <si>
    <t>Inkonell 718</t>
  </si>
  <si>
    <t>Grafiit</t>
  </si>
  <si>
    <t>D = keerme diameeter (mm)</t>
  </si>
  <si>
    <t>Teras, Karastatud, &lt; 55 HRC</t>
  </si>
  <si>
    <t>Teras, Karastatud, &lt; 65 HRC</t>
  </si>
  <si>
    <t>Malm, Libleline Grafiit, &lt; 500 N/mm3</t>
  </si>
  <si>
    <t>Malm, Libleline Grafiit, &lt; 1000 N/mm3</t>
  </si>
  <si>
    <t>Malm, Keragrafiit, Tempermalm, &lt; 700 N/mm3</t>
  </si>
  <si>
    <t>Malm, Keragrafiit, Tempermalm, &lt; 1000 N/mm3</t>
  </si>
  <si>
    <t>Roostevabateras, Hea Lõiketöödelduvusega</t>
  </si>
  <si>
    <t>Roostevabateras, Austeniitne</t>
  </si>
  <si>
    <t>Filettatura interna con fresa in centro di lavoro</t>
  </si>
  <si>
    <t>Filettatura interna con fresa in tornio con contropunta</t>
  </si>
  <si>
    <t>NPTF</t>
  </si>
  <si>
    <t>PG</t>
  </si>
  <si>
    <t>Acciai con basso tenore di carbonio, &lt; 0,25% C, &lt; 400 N/mm3</t>
  </si>
  <si>
    <t>Acciai con medio tenore di carbonio, &lt; 0,55% C, &lt; 700 N/mm3</t>
  </si>
  <si>
    <t>Titaan, Legeeritud, &lt; 900 N/mm3</t>
  </si>
  <si>
    <t>d = fræser diameter (mm)</t>
  </si>
  <si>
    <t>Palun, loe enne kasutamist!</t>
  </si>
  <si>
    <t xml:space="preserve">z = numero di taglienti </t>
  </si>
  <si>
    <t>Backing off Z</t>
    <phoneticPr fontId="4"/>
  </si>
  <si>
    <t xml:space="preserve"> X</t>
    <phoneticPr fontId="4"/>
  </si>
  <si>
    <t>V = velocità di taglio (m/min)</t>
  </si>
  <si>
    <t>Fz = avanzamento per dente (mm/dente)</t>
  </si>
  <si>
    <t>Gietijzer, Nodulair Grap., smeedbaar, &lt; 700 N/mm2</t>
  </si>
  <si>
    <t>Gietijzer, Nodulair Grap., smeedbaar, &lt; 1000 N/mm2</t>
  </si>
  <si>
    <t>Roestvrijstaal, automatenstaal</t>
  </si>
  <si>
    <t>Roestvrijstaal, Austenitisch</t>
  </si>
  <si>
    <t>Roestvrijstaal, Ferritisch en Austenitisch</t>
  </si>
  <si>
    <t>Titanium, ongelegeerd, &lt; 700 N/mm2</t>
  </si>
  <si>
    <t>Titanium, gelegeerd, &lt; 900 N/mm2</t>
  </si>
  <si>
    <t>Programma CNC per Mitsubishi</t>
  </si>
  <si>
    <t>Programma CNC per Fagor</t>
  </si>
  <si>
    <t>Programma CNC per Mazak</t>
  </si>
  <si>
    <t>Fd = Vorschub im Fräser-Zentrum (mm/min)</t>
  </si>
  <si>
    <t>T = Zeit zum Fräsen des Gewindes (sek)</t>
  </si>
  <si>
    <t>L = thread length (mm)</t>
  </si>
  <si>
    <t>S = safety distance (mm)</t>
  </si>
  <si>
    <t>P = tipo de rosca (TPI)</t>
  </si>
  <si>
    <t>Sisekeerme freesimine freespingis</t>
  </si>
  <si>
    <t>Sisekeerme freesimine treipingis pöörleva instrumendiga</t>
  </si>
  <si>
    <t>M - Meeterkeere</t>
  </si>
  <si>
    <t>UN - Unifitseeritud keere</t>
  </si>
  <si>
    <t>BSPT - Koonus torukeere</t>
  </si>
  <si>
    <t>Läbimite arv, aksiaalne</t>
  </si>
  <si>
    <t>N = spindli pöörete arv (rpm)</t>
  </si>
  <si>
    <t>FD = ettenihe keerme diameetril (mm/min)</t>
  </si>
  <si>
    <t>Fd = ettenihe freesi keskmes (mm/min)</t>
  </si>
  <si>
    <t>Roostevabateras, Ferriitne ja Austeniitne</t>
  </si>
  <si>
    <t>Nikkel, Mittelegeeritud, &lt; 500 N/mm3</t>
  </si>
  <si>
    <t>Nikkel, Legeeritud, &lt; 900 N/mm3</t>
  </si>
  <si>
    <t>T = aeg keerme freesimiseks (seconds)</t>
  </si>
  <si>
    <t>CNC programm Fanuc</t>
  </si>
  <si>
    <t>CNC programm Siemens</t>
  </si>
  <si>
    <t>CNC programm Num</t>
  </si>
  <si>
    <t>CNC programm Fagor</t>
  </si>
  <si>
    <t>CNC programm Mazak</t>
  </si>
  <si>
    <t>CNC programm Mitsubishi</t>
  </si>
  <si>
    <t>Gietijzer, Lamellair grafiet, &lt; 1000 N/mm2</t>
  </si>
  <si>
    <t>Titaan, Legeeritud, &lt; 1250 N/mm3</t>
  </si>
  <si>
    <t>Romana</t>
  </si>
  <si>
    <t>Teras, Madalsüsinik, &lt; 0,25% C, &lt; 400 N/mm3</t>
  </si>
  <si>
    <t>Fz = etteandmine/hammas (mm/tooth)</t>
  </si>
  <si>
    <t>Läbimite arv, radiaalne (max 3)</t>
  </si>
  <si>
    <t>Inwendig draadsnijden op bewerkingscentrum</t>
  </si>
  <si>
    <t>ProgramNo.</t>
    <phoneticPr fontId="4"/>
  </si>
  <si>
    <t>Inwendig draadsnijden met aangedereven gereedschap</t>
  </si>
  <si>
    <t>BSPT - Tapered Pijpdraad</t>
  </si>
  <si>
    <t>NPT - Tapered Pijpdraad</t>
  </si>
  <si>
    <t>NPTF - Dryseal, Tapered Pijpdraad</t>
  </si>
  <si>
    <t>NPSF - Pijpdraad</t>
  </si>
  <si>
    <t>Staal ongelegeerd, &lt; 0,25% C, &lt; 400 N/mm2</t>
  </si>
  <si>
    <t>Staal, Constructiestaal, &lt; 0,55% C, &lt; 700 N/mm2</t>
  </si>
  <si>
    <t>Fresa per filettare</t>
  </si>
  <si>
    <t xml:space="preserve">Attenzione, leggere prima di usare </t>
  </si>
  <si>
    <t>Staal, gehard, &lt; 45 HRC</t>
  </si>
  <si>
    <t>Staal, gehard, &lt; 55 HRC</t>
  </si>
  <si>
    <t>Unlisted and Special Tooling</t>
  </si>
  <si>
    <t>L = comprimento da rosca (mm)</t>
  </si>
  <si>
    <t>S = distancia de segurança (mm)</t>
  </si>
  <si>
    <t>d = diâmetro de corte (mm)</t>
  </si>
  <si>
    <t>l = comprimento de corte da fresa (mm)</t>
  </si>
  <si>
    <t>Acciai con alto tenore di carbonio, &lt; 0,85% C, &lt; 850 N/mm3</t>
  </si>
  <si>
    <t>Acciai poco legati , &lt; 850 N/mm3</t>
  </si>
  <si>
    <t>Acciai alto legati , &lt; 1200 N/mm3</t>
  </si>
  <si>
    <t>Acciai temperati &lt; 45 HRC</t>
  </si>
  <si>
    <t>Acciai temperati , &lt; 55 HRC</t>
  </si>
  <si>
    <t>Nikkel, legeret, &lt; 1250M/mm2</t>
  </si>
  <si>
    <t>Kobber, ulegeret, &lt; 350 N/mm2</t>
  </si>
  <si>
    <t>Approch -X</t>
    <phoneticPr fontId="4"/>
  </si>
  <si>
    <t>Drilling Depth</t>
    <phoneticPr fontId="4"/>
  </si>
  <si>
    <r>
      <t xml:space="preserve">d = </t>
    </r>
    <r>
      <rPr>
        <sz val="9"/>
        <rFont val="돋움"/>
        <family val="3"/>
      </rPr>
      <t>공구</t>
    </r>
    <r>
      <rPr>
        <sz val="9"/>
        <rFont val="Verdana"/>
        <family val="2"/>
      </rPr>
      <t xml:space="preserve"> </t>
    </r>
    <r>
      <rPr>
        <sz val="9"/>
        <rFont val="돋움"/>
        <family val="3"/>
      </rPr>
      <t>직경</t>
    </r>
    <r>
      <rPr>
        <sz val="9"/>
        <rFont val="Verdana"/>
        <family val="2"/>
      </rPr>
      <t xml:space="preserve"> (mm)</t>
    </r>
    <phoneticPr fontId="4"/>
  </si>
  <si>
    <r>
      <t>d=</t>
    </r>
    <r>
      <rPr>
        <sz val="9"/>
        <rFont val="ＭＳ Ｐゴシック"/>
        <family val="2"/>
        <charset val="128"/>
      </rPr>
      <t>カッタ径（㎜）</t>
    </r>
    <phoneticPr fontId="4"/>
  </si>
  <si>
    <r>
      <t xml:space="preserve">d = </t>
    </r>
    <r>
      <rPr>
        <sz val="9"/>
        <rFont val="細明體"/>
        <family val="3"/>
      </rPr>
      <t>銑牙刀刃外徑</t>
    </r>
    <r>
      <rPr>
        <sz val="9"/>
        <rFont val="Verdana"/>
        <family val="2"/>
      </rPr>
      <t xml:space="preserve"> (mm)</t>
    </r>
    <phoneticPr fontId="4"/>
  </si>
  <si>
    <r>
      <t xml:space="preserve">d = </t>
    </r>
    <r>
      <rPr>
        <sz val="10"/>
        <rFont val="宋体"/>
        <charset val="129"/>
      </rPr>
      <t>刀具直径</t>
    </r>
    <r>
      <rPr>
        <sz val="10"/>
        <rFont val="Arial"/>
        <family val="2"/>
      </rPr>
      <t xml:space="preserve"> (mm)</t>
    </r>
    <phoneticPr fontId="4"/>
  </si>
  <si>
    <r>
      <t xml:space="preserve">l = </t>
    </r>
    <r>
      <rPr>
        <sz val="9"/>
        <rFont val="돋움"/>
        <family val="3"/>
      </rPr>
      <t>절삭날</t>
    </r>
    <r>
      <rPr>
        <sz val="9"/>
        <rFont val="Verdana"/>
        <family val="2"/>
      </rPr>
      <t xml:space="preserve"> </t>
    </r>
    <r>
      <rPr>
        <sz val="9"/>
        <rFont val="돋움"/>
        <family val="3"/>
      </rPr>
      <t>길이</t>
    </r>
    <r>
      <rPr>
        <sz val="9"/>
        <rFont val="Verdana"/>
        <family val="2"/>
      </rPr>
      <t xml:space="preserve"> (mm)</t>
    </r>
    <phoneticPr fontId="4"/>
  </si>
  <si>
    <r>
      <t>l=</t>
    </r>
    <r>
      <rPr>
        <sz val="9"/>
        <rFont val="ＭＳ Ｐゴシック"/>
        <family val="2"/>
        <charset val="128"/>
      </rPr>
      <t>有効刃長（㎜）</t>
    </r>
    <phoneticPr fontId="4"/>
  </si>
  <si>
    <r>
      <t xml:space="preserve">l = </t>
    </r>
    <r>
      <rPr>
        <sz val="9"/>
        <rFont val="細明體"/>
        <family val="3"/>
      </rPr>
      <t>銑牙刀刃長度</t>
    </r>
    <r>
      <rPr>
        <sz val="9"/>
        <rFont val="Verdana"/>
        <family val="2"/>
      </rPr>
      <t xml:space="preserve"> (mm)</t>
    </r>
    <phoneticPr fontId="4"/>
  </si>
  <si>
    <r>
      <t xml:space="preserve">l = </t>
    </r>
    <r>
      <rPr>
        <sz val="10"/>
        <rFont val="宋体"/>
        <charset val="129"/>
      </rPr>
      <t>切削刃长度</t>
    </r>
    <r>
      <rPr>
        <sz val="10"/>
        <rFont val="Arial"/>
        <family val="2"/>
      </rPr>
      <t xml:space="preserve"> (mm)</t>
    </r>
    <phoneticPr fontId="4"/>
  </si>
  <si>
    <r>
      <t xml:space="preserve">z = </t>
    </r>
    <r>
      <rPr>
        <sz val="9"/>
        <rFont val="돋움"/>
        <family val="3"/>
      </rPr>
      <t>날</t>
    </r>
    <r>
      <rPr>
        <sz val="9"/>
        <rFont val="Verdana"/>
        <family val="2"/>
      </rPr>
      <t xml:space="preserve"> </t>
    </r>
    <r>
      <rPr>
        <sz val="9"/>
        <rFont val="돋움"/>
        <family val="3"/>
      </rPr>
      <t>수</t>
    </r>
    <phoneticPr fontId="4"/>
  </si>
  <si>
    <r>
      <t>z=</t>
    </r>
    <r>
      <rPr>
        <sz val="9"/>
        <rFont val="ＭＳ Ｐゴシック"/>
        <family val="2"/>
        <charset val="128"/>
      </rPr>
      <t>刃数</t>
    </r>
    <phoneticPr fontId="4"/>
  </si>
  <si>
    <r>
      <t xml:space="preserve">z = </t>
    </r>
    <r>
      <rPr>
        <sz val="9"/>
        <rFont val="細明體"/>
        <family val="3"/>
      </rPr>
      <t>銑牙刀刃數</t>
    </r>
    <phoneticPr fontId="4"/>
  </si>
  <si>
    <r>
      <t xml:space="preserve">z = </t>
    </r>
    <r>
      <rPr>
        <sz val="10"/>
        <rFont val="宋体"/>
        <charset val="129"/>
      </rPr>
      <t>齿数</t>
    </r>
    <phoneticPr fontId="4"/>
  </si>
  <si>
    <r>
      <t xml:space="preserve">V = </t>
    </r>
    <r>
      <rPr>
        <sz val="9"/>
        <rFont val="돋움"/>
        <family val="3"/>
      </rPr>
      <t>절삭속도</t>
    </r>
    <r>
      <rPr>
        <sz val="9"/>
        <rFont val="Verdana"/>
        <family val="2"/>
      </rPr>
      <t xml:space="preserve"> (m/min)</t>
    </r>
    <phoneticPr fontId="4"/>
  </si>
  <si>
    <r>
      <t>V=</t>
    </r>
    <r>
      <rPr>
        <sz val="9"/>
        <rFont val="ＭＳ Ｐゴシック"/>
        <family val="2"/>
        <charset val="128"/>
      </rPr>
      <t>切削速度</t>
    </r>
    <r>
      <rPr>
        <sz val="9"/>
        <rFont val="Verdana"/>
        <family val="2"/>
      </rPr>
      <t>(m/min)</t>
    </r>
    <phoneticPr fontId="4"/>
  </si>
  <si>
    <r>
      <t xml:space="preserve">V = </t>
    </r>
    <r>
      <rPr>
        <sz val="9"/>
        <rFont val="細明體"/>
        <family val="3"/>
      </rPr>
      <t>切削速度</t>
    </r>
    <r>
      <rPr>
        <sz val="9"/>
        <rFont val="Verdana"/>
        <family val="2"/>
      </rPr>
      <t xml:space="preserve"> (m/min)</t>
    </r>
    <phoneticPr fontId="4"/>
  </si>
  <si>
    <r>
      <t xml:space="preserve">V = </t>
    </r>
    <r>
      <rPr>
        <sz val="10"/>
        <rFont val="宋体"/>
        <charset val="129"/>
      </rPr>
      <t>切削速度</t>
    </r>
    <r>
      <rPr>
        <sz val="10"/>
        <rFont val="Arial"/>
        <family val="2"/>
      </rPr>
      <t xml:space="preserve">  (mm/min)</t>
    </r>
    <phoneticPr fontId="4"/>
  </si>
  <si>
    <r>
      <t xml:space="preserve">Fz = </t>
    </r>
    <r>
      <rPr>
        <sz val="9"/>
        <rFont val="돋움"/>
        <family val="3"/>
      </rPr>
      <t>이송</t>
    </r>
    <r>
      <rPr>
        <sz val="9"/>
        <rFont val="Verdana"/>
        <family val="2"/>
      </rPr>
      <t>/</t>
    </r>
    <r>
      <rPr>
        <sz val="9"/>
        <rFont val="돋움"/>
        <family val="3"/>
      </rPr>
      <t>날당</t>
    </r>
    <r>
      <rPr>
        <sz val="9"/>
        <rFont val="Verdana"/>
        <family val="2"/>
      </rPr>
      <t>(mm/tooth)</t>
    </r>
    <phoneticPr fontId="4"/>
  </si>
  <si>
    <r>
      <t>Fz=</t>
    </r>
    <r>
      <rPr>
        <sz val="9"/>
        <rFont val="ＭＳ Ｐゴシック"/>
        <family val="2"/>
        <charset val="128"/>
      </rPr>
      <t>一刃当たり送り（</t>
    </r>
    <r>
      <rPr>
        <sz val="9"/>
        <rFont val="Verdana"/>
        <family val="2"/>
      </rPr>
      <t>mm/</t>
    </r>
    <r>
      <rPr>
        <sz val="9"/>
        <rFont val="ＭＳ Ｐゴシック"/>
        <family val="2"/>
        <charset val="128"/>
      </rPr>
      <t>刃）</t>
    </r>
    <phoneticPr fontId="4"/>
  </si>
  <si>
    <r>
      <t xml:space="preserve">Fz = </t>
    </r>
    <r>
      <rPr>
        <sz val="9"/>
        <rFont val="細明體"/>
        <family val="3"/>
      </rPr>
      <t>每牙進給量</t>
    </r>
    <r>
      <rPr>
        <sz val="9"/>
        <rFont val="Verdana"/>
        <family val="2"/>
      </rPr>
      <t xml:space="preserve"> (mm/tooth)</t>
    </r>
    <phoneticPr fontId="4"/>
  </si>
  <si>
    <r>
      <t xml:space="preserve">Fz = </t>
    </r>
    <r>
      <rPr>
        <sz val="10"/>
        <rFont val="宋体"/>
        <charset val="129"/>
      </rPr>
      <t>每齿进给速度</t>
    </r>
    <r>
      <rPr>
        <sz val="10"/>
        <rFont val="Arial"/>
        <family val="2"/>
      </rPr>
      <t xml:space="preserve"> (mm/</t>
    </r>
    <r>
      <rPr>
        <sz val="10"/>
        <rFont val="宋体"/>
        <charset val="129"/>
      </rPr>
      <t>刃</t>
    </r>
    <r>
      <rPr>
        <sz val="10"/>
        <rFont val="Arial"/>
        <family val="2"/>
      </rPr>
      <t>)</t>
    </r>
    <phoneticPr fontId="4"/>
  </si>
  <si>
    <t>Anzahl Durchgänge, radial (max. 2)</t>
    <phoneticPr fontId="4"/>
  </si>
  <si>
    <r>
      <t>반복</t>
    </r>
    <r>
      <rPr>
        <sz val="9"/>
        <rFont val="Verdana"/>
        <family val="2"/>
      </rPr>
      <t xml:space="preserve"> </t>
    </r>
    <r>
      <rPr>
        <sz val="9"/>
        <rFont val="돋움"/>
        <family val="3"/>
      </rPr>
      <t>횟수</t>
    </r>
    <r>
      <rPr>
        <sz val="9"/>
        <rFont val="Verdana"/>
        <family val="2"/>
      </rPr>
      <t xml:space="preserve">, </t>
    </r>
    <r>
      <rPr>
        <sz val="9"/>
        <rFont val="돋움"/>
        <family val="3"/>
      </rPr>
      <t>원주방향</t>
    </r>
    <r>
      <rPr>
        <sz val="9"/>
        <rFont val="Verdana"/>
        <family val="2"/>
      </rPr>
      <t xml:space="preserve"> (max 2)</t>
    </r>
    <phoneticPr fontId="4"/>
  </si>
  <si>
    <t>パス回数、ラジアル方向（最大３）</t>
    <phoneticPr fontId="4"/>
  </si>
  <si>
    <r>
      <t>銑牙次數</t>
    </r>
    <r>
      <rPr>
        <sz val="9"/>
        <rFont val="Verdana"/>
        <family val="2"/>
      </rPr>
      <t xml:space="preserve">, </t>
    </r>
    <r>
      <rPr>
        <sz val="9"/>
        <rFont val="細明體"/>
        <family val="3"/>
      </rPr>
      <t>徑向</t>
    </r>
    <r>
      <rPr>
        <sz val="9"/>
        <rFont val="Verdana"/>
        <family val="2"/>
      </rPr>
      <t xml:space="preserve"> (max 3)</t>
    </r>
    <phoneticPr fontId="4"/>
  </si>
  <si>
    <r>
      <t>走刀次数</t>
    </r>
    <r>
      <rPr>
        <sz val="10"/>
        <rFont val="Arial"/>
        <family val="2"/>
      </rPr>
      <t xml:space="preserve">, </t>
    </r>
    <r>
      <rPr>
        <sz val="10"/>
        <rFont val="宋体"/>
        <charset val="129"/>
      </rPr>
      <t>径向</t>
    </r>
    <r>
      <rPr>
        <sz val="10"/>
        <rFont val="Arial"/>
        <family val="2"/>
      </rPr>
      <t xml:space="preserve"> (</t>
    </r>
    <r>
      <rPr>
        <sz val="10"/>
        <rFont val="宋体"/>
        <charset val="129"/>
      </rPr>
      <t>最多</t>
    </r>
    <r>
      <rPr>
        <sz val="10"/>
        <rFont val="Arial"/>
        <family val="2"/>
      </rPr>
      <t>3</t>
    </r>
    <r>
      <rPr>
        <sz val="10"/>
        <rFont val="宋体"/>
        <charset val="129"/>
      </rPr>
      <t>次</t>
    </r>
    <r>
      <rPr>
        <sz val="10"/>
        <rFont val="Arial"/>
        <family val="2"/>
      </rPr>
      <t xml:space="preserve"> )</t>
    </r>
    <phoneticPr fontId="4"/>
  </si>
  <si>
    <t>반복 횟수, 축방향</t>
    <phoneticPr fontId="4"/>
  </si>
  <si>
    <t>パス回数、アキシャル方向</t>
    <phoneticPr fontId="4"/>
  </si>
  <si>
    <r>
      <t>銑牙次數</t>
    </r>
    <r>
      <rPr>
        <sz val="9"/>
        <rFont val="Verdana"/>
        <family val="2"/>
      </rPr>
      <t xml:space="preserve">, </t>
    </r>
    <r>
      <rPr>
        <sz val="9"/>
        <rFont val="細明體"/>
        <family val="3"/>
      </rPr>
      <t>軸向</t>
    </r>
    <phoneticPr fontId="4"/>
  </si>
  <si>
    <t>走刀次数, 轴向</t>
    <phoneticPr fontId="4"/>
  </si>
  <si>
    <r>
      <t xml:space="preserve">N = </t>
    </r>
    <r>
      <rPr>
        <sz val="9"/>
        <rFont val="돋움"/>
        <family val="3"/>
      </rPr>
      <t>스핀들</t>
    </r>
    <r>
      <rPr>
        <sz val="9"/>
        <rFont val="Verdana"/>
        <family val="2"/>
      </rPr>
      <t xml:space="preserve"> </t>
    </r>
    <r>
      <rPr>
        <sz val="9"/>
        <rFont val="돋움"/>
        <family val="3"/>
      </rPr>
      <t>회전수</t>
    </r>
    <r>
      <rPr>
        <sz val="9"/>
        <rFont val="Verdana"/>
        <family val="2"/>
      </rPr>
      <t>(rpm)</t>
    </r>
    <phoneticPr fontId="4"/>
  </si>
  <si>
    <r>
      <t>N=</t>
    </r>
    <r>
      <rPr>
        <sz val="9"/>
        <rFont val="ＭＳ Ｐゴシック"/>
        <family val="2"/>
        <charset val="128"/>
      </rPr>
      <t>回転数（ｒｐｍ）</t>
    </r>
    <phoneticPr fontId="4"/>
  </si>
  <si>
    <r>
      <t xml:space="preserve">N = </t>
    </r>
    <r>
      <rPr>
        <sz val="9"/>
        <rFont val="細明體"/>
        <family val="3"/>
      </rPr>
      <t>轉速</t>
    </r>
    <r>
      <rPr>
        <sz val="9"/>
        <rFont val="Verdana"/>
        <family val="2"/>
      </rPr>
      <t xml:space="preserve"> (rpm)</t>
    </r>
    <phoneticPr fontId="4"/>
  </si>
  <si>
    <r>
      <t xml:space="preserve">N = </t>
    </r>
    <r>
      <rPr>
        <sz val="10"/>
        <rFont val="宋体"/>
        <charset val="129"/>
      </rPr>
      <t>主轴转速</t>
    </r>
    <r>
      <rPr>
        <sz val="10"/>
        <rFont val="Arial"/>
        <family val="2"/>
      </rPr>
      <t xml:space="preserve"> (rpm)</t>
    </r>
    <phoneticPr fontId="4"/>
  </si>
  <si>
    <r>
      <t xml:space="preserve">FD = </t>
    </r>
    <r>
      <rPr>
        <sz val="9"/>
        <rFont val="돋움"/>
        <family val="3"/>
      </rPr>
      <t>나사</t>
    </r>
    <r>
      <rPr>
        <sz val="9"/>
        <rFont val="Verdana"/>
        <family val="2"/>
      </rPr>
      <t xml:space="preserve"> </t>
    </r>
    <r>
      <rPr>
        <sz val="9"/>
        <rFont val="돋움"/>
        <family val="3"/>
      </rPr>
      <t>외경에서의</t>
    </r>
    <r>
      <rPr>
        <sz val="9"/>
        <rFont val="Verdana"/>
        <family val="2"/>
      </rPr>
      <t xml:space="preserve"> </t>
    </r>
    <r>
      <rPr>
        <sz val="9"/>
        <rFont val="돋움"/>
        <family val="3"/>
      </rPr>
      <t>이송</t>
    </r>
    <r>
      <rPr>
        <sz val="9"/>
        <rFont val="Verdana"/>
        <family val="2"/>
      </rPr>
      <t>(mm/min)</t>
    </r>
    <phoneticPr fontId="4"/>
  </si>
  <si>
    <r>
      <t>FD=</t>
    </r>
    <r>
      <rPr>
        <sz val="9"/>
        <rFont val="ＭＳ Ｐゴシック"/>
        <family val="2"/>
        <charset val="128"/>
      </rPr>
      <t>ねじ径の送り（ｍｍ</t>
    </r>
    <r>
      <rPr>
        <sz val="9"/>
        <rFont val="Verdana"/>
        <family val="2"/>
      </rPr>
      <t>)</t>
    </r>
    <phoneticPr fontId="4"/>
  </si>
  <si>
    <r>
      <t xml:space="preserve">FD = </t>
    </r>
    <r>
      <rPr>
        <sz val="9"/>
        <rFont val="細明體"/>
        <family val="3"/>
      </rPr>
      <t>牙徑進給</t>
    </r>
    <r>
      <rPr>
        <sz val="9"/>
        <rFont val="Verdana"/>
        <family val="2"/>
      </rPr>
      <t xml:space="preserve"> (mm/min)</t>
    </r>
    <phoneticPr fontId="4"/>
  </si>
  <si>
    <r>
      <t xml:space="preserve">FD = </t>
    </r>
    <r>
      <rPr>
        <sz val="10"/>
        <rFont val="宋体"/>
        <charset val="129"/>
      </rPr>
      <t>直径进给速度</t>
    </r>
    <r>
      <rPr>
        <sz val="10"/>
        <rFont val="Arial"/>
        <family val="2"/>
      </rPr>
      <t xml:space="preserve"> (mm/min)</t>
    </r>
    <phoneticPr fontId="4"/>
  </si>
  <si>
    <r>
      <t xml:space="preserve">Fd = </t>
    </r>
    <r>
      <rPr>
        <sz val="9"/>
        <rFont val="돋움"/>
        <family val="3"/>
      </rPr>
      <t>공구</t>
    </r>
    <r>
      <rPr>
        <sz val="9"/>
        <rFont val="Verdana"/>
        <family val="2"/>
      </rPr>
      <t xml:space="preserve"> </t>
    </r>
    <r>
      <rPr>
        <sz val="9"/>
        <rFont val="돋움"/>
        <family val="3"/>
      </rPr>
      <t>중심에서의</t>
    </r>
    <r>
      <rPr>
        <sz val="9"/>
        <rFont val="Verdana"/>
        <family val="2"/>
      </rPr>
      <t xml:space="preserve"> </t>
    </r>
    <r>
      <rPr>
        <sz val="9"/>
        <rFont val="돋움"/>
        <family val="3"/>
      </rPr>
      <t>이송</t>
    </r>
    <r>
      <rPr>
        <sz val="9"/>
        <rFont val="Verdana"/>
        <family val="2"/>
      </rPr>
      <t>(mm/min)</t>
    </r>
    <phoneticPr fontId="4"/>
  </si>
  <si>
    <r>
      <t>Fd=</t>
    </r>
    <r>
      <rPr>
        <sz val="9"/>
        <rFont val="ＭＳ Ｐゴシック"/>
        <family val="2"/>
        <charset val="128"/>
      </rPr>
      <t>カッタの中心での送り（</t>
    </r>
    <r>
      <rPr>
        <sz val="9"/>
        <rFont val="Verdana"/>
        <family val="2"/>
      </rPr>
      <t>mm/min)</t>
    </r>
    <phoneticPr fontId="4"/>
  </si>
  <si>
    <r>
      <t xml:space="preserve">Fd = </t>
    </r>
    <r>
      <rPr>
        <sz val="9"/>
        <rFont val="細明體"/>
        <family val="3"/>
      </rPr>
      <t>中心銑牙進給</t>
    </r>
    <r>
      <rPr>
        <sz val="9"/>
        <rFont val="Verdana"/>
        <family val="2"/>
      </rPr>
      <t xml:space="preserve"> (mm/min)</t>
    </r>
    <phoneticPr fontId="4"/>
  </si>
  <si>
    <r>
      <t xml:space="preserve">Fd = </t>
    </r>
    <r>
      <rPr>
        <sz val="10"/>
        <rFont val="宋体"/>
        <charset val="129"/>
      </rPr>
      <t>中心进给速度</t>
    </r>
    <r>
      <rPr>
        <sz val="10"/>
        <rFont val="Arial"/>
        <family val="2"/>
      </rPr>
      <t xml:space="preserve"> (mm/min)</t>
    </r>
    <phoneticPr fontId="4"/>
  </si>
  <si>
    <r>
      <t xml:space="preserve">T = </t>
    </r>
    <r>
      <rPr>
        <sz val="9"/>
        <rFont val="돋움"/>
        <family val="3"/>
      </rPr>
      <t>쓰레드</t>
    </r>
    <r>
      <rPr>
        <sz val="9"/>
        <rFont val="Verdana"/>
        <family val="2"/>
      </rPr>
      <t xml:space="preserve"> </t>
    </r>
    <r>
      <rPr>
        <sz val="9"/>
        <rFont val="돋움"/>
        <family val="3"/>
      </rPr>
      <t>밀링</t>
    </r>
    <r>
      <rPr>
        <sz val="9"/>
        <rFont val="Verdana"/>
        <family val="2"/>
      </rPr>
      <t xml:space="preserve"> </t>
    </r>
    <r>
      <rPr>
        <sz val="9"/>
        <rFont val="돋움"/>
        <family val="3"/>
      </rPr>
      <t>시간</t>
    </r>
    <r>
      <rPr>
        <sz val="9"/>
        <rFont val="Verdana"/>
        <family val="2"/>
      </rPr>
      <t>(</t>
    </r>
    <r>
      <rPr>
        <sz val="9"/>
        <rFont val="돋움"/>
        <family val="3"/>
      </rPr>
      <t>초</t>
    </r>
    <r>
      <rPr>
        <sz val="9"/>
        <rFont val="Verdana"/>
        <family val="2"/>
      </rPr>
      <t>)</t>
    </r>
    <phoneticPr fontId="4"/>
  </si>
  <si>
    <r>
      <t>T=</t>
    </r>
    <r>
      <rPr>
        <sz val="9"/>
        <rFont val="ＭＳ Ｐゴシック"/>
        <family val="2"/>
        <charset val="128"/>
      </rPr>
      <t>ねじの加工時間（秒）</t>
    </r>
    <phoneticPr fontId="4"/>
  </si>
  <si>
    <r>
      <t>T =</t>
    </r>
    <r>
      <rPr>
        <sz val="9"/>
        <rFont val="細明體"/>
        <family val="3"/>
      </rPr>
      <t>完成銑牙時間</t>
    </r>
    <r>
      <rPr>
        <sz val="9"/>
        <rFont val="Verdana"/>
        <family val="2"/>
      </rPr>
      <t xml:space="preserve"> (seconds)</t>
    </r>
    <phoneticPr fontId="4"/>
  </si>
  <si>
    <r>
      <t xml:space="preserve">T = </t>
    </r>
    <r>
      <rPr>
        <sz val="10"/>
        <rFont val="宋体"/>
        <charset val="129"/>
      </rPr>
      <t>螺纹加工时间</t>
    </r>
    <r>
      <rPr>
        <sz val="10"/>
        <rFont val="Arial"/>
        <family val="2"/>
      </rPr>
      <t xml:space="preserve"> (</t>
    </r>
    <r>
      <rPr>
        <sz val="10"/>
        <rFont val="宋体"/>
        <charset val="129"/>
      </rPr>
      <t>秒</t>
    </r>
    <r>
      <rPr>
        <sz val="10"/>
        <rFont val="Arial"/>
        <family val="2"/>
      </rPr>
      <t>)</t>
    </r>
    <phoneticPr fontId="4"/>
  </si>
  <si>
    <r>
      <t>화낙용</t>
    </r>
    <r>
      <rPr>
        <sz val="9"/>
        <rFont val="Verdana"/>
        <family val="2"/>
      </rPr>
      <t xml:space="preserve"> CNC </t>
    </r>
    <r>
      <rPr>
        <sz val="9"/>
        <rFont val="돋움"/>
        <family val="3"/>
      </rPr>
      <t>프로그램</t>
    </r>
    <phoneticPr fontId="4"/>
  </si>
  <si>
    <t>ファナック用ＣＮＣプログラム</t>
    <phoneticPr fontId="4"/>
  </si>
  <si>
    <r>
      <t xml:space="preserve">Fanuc </t>
    </r>
    <r>
      <rPr>
        <sz val="9"/>
        <rFont val="細明體"/>
        <family val="3"/>
      </rPr>
      <t>之</t>
    </r>
    <r>
      <rPr>
        <sz val="9"/>
        <rFont val="Verdana"/>
        <family val="2"/>
      </rPr>
      <t xml:space="preserve">CNC </t>
    </r>
    <r>
      <rPr>
        <sz val="9"/>
        <rFont val="細明體"/>
        <family val="3"/>
      </rPr>
      <t>銑牙程式</t>
    </r>
    <phoneticPr fontId="4"/>
  </si>
  <si>
    <r>
      <t>CNC</t>
    </r>
    <r>
      <rPr>
        <sz val="10"/>
        <rFont val="宋体"/>
        <charset val="129"/>
      </rPr>
      <t>程序</t>
    </r>
    <r>
      <rPr>
        <sz val="10"/>
        <rFont val="Arial"/>
        <family val="2"/>
      </rPr>
      <t xml:space="preserve">, </t>
    </r>
    <r>
      <rPr>
        <sz val="10"/>
        <rFont val="宋体"/>
        <charset val="129"/>
      </rPr>
      <t>用于发那科数控系统</t>
    </r>
    <phoneticPr fontId="4"/>
  </si>
  <si>
    <t>하이덴하인용 CNC 프로그램</t>
    <phoneticPr fontId="4"/>
  </si>
  <si>
    <t>ハイデンハイン用ＣＮＣプログラム</t>
    <phoneticPr fontId="4"/>
  </si>
  <si>
    <r>
      <t xml:space="preserve">Heidenhein </t>
    </r>
    <r>
      <rPr>
        <sz val="9"/>
        <rFont val="細明體"/>
        <family val="3"/>
      </rPr>
      <t>之</t>
    </r>
    <r>
      <rPr>
        <sz val="9"/>
        <rFont val="Verdana"/>
        <family val="2"/>
      </rPr>
      <t xml:space="preserve">CNC </t>
    </r>
    <r>
      <rPr>
        <sz val="9"/>
        <rFont val="細明體"/>
        <family val="3"/>
      </rPr>
      <t>銑牙程式</t>
    </r>
    <phoneticPr fontId="4"/>
  </si>
  <si>
    <r>
      <t>CNC</t>
    </r>
    <r>
      <rPr>
        <sz val="10"/>
        <rFont val="宋体"/>
        <charset val="129"/>
      </rPr>
      <t>程序</t>
    </r>
    <r>
      <rPr>
        <sz val="10"/>
        <rFont val="Arial"/>
        <family val="2"/>
      </rPr>
      <t xml:space="preserve">, </t>
    </r>
    <r>
      <rPr>
        <sz val="10"/>
        <rFont val="宋体"/>
        <charset val="129"/>
      </rPr>
      <t>用于海德汉数控系统</t>
    </r>
    <phoneticPr fontId="4"/>
  </si>
  <si>
    <r>
      <t>지멘스용</t>
    </r>
    <r>
      <rPr>
        <sz val="9"/>
        <rFont val="Verdana"/>
        <family val="2"/>
      </rPr>
      <t xml:space="preserve"> CNC </t>
    </r>
    <r>
      <rPr>
        <sz val="9"/>
        <rFont val="돋움"/>
        <family val="3"/>
      </rPr>
      <t>프로그램</t>
    </r>
    <phoneticPr fontId="4"/>
  </si>
  <si>
    <t>シーメンス用ＣＮＣプログラム</t>
    <phoneticPr fontId="4"/>
  </si>
  <si>
    <r>
      <t xml:space="preserve">Siemens </t>
    </r>
    <r>
      <rPr>
        <sz val="9"/>
        <rFont val="細明體"/>
        <family val="3"/>
      </rPr>
      <t>之</t>
    </r>
    <r>
      <rPr>
        <sz val="9"/>
        <rFont val="Verdana"/>
        <family val="2"/>
      </rPr>
      <t xml:space="preserve">CNC </t>
    </r>
    <r>
      <rPr>
        <sz val="9"/>
        <rFont val="細明體"/>
        <family val="3"/>
      </rPr>
      <t>銑牙程式</t>
    </r>
    <phoneticPr fontId="4"/>
  </si>
  <si>
    <r>
      <t>CNC</t>
    </r>
    <r>
      <rPr>
        <sz val="10"/>
        <rFont val="宋体"/>
        <charset val="129"/>
      </rPr>
      <t>程序</t>
    </r>
    <r>
      <rPr>
        <sz val="10"/>
        <rFont val="Arial"/>
        <family val="2"/>
      </rPr>
      <t xml:space="preserve">, </t>
    </r>
    <r>
      <rPr>
        <sz val="10"/>
        <rFont val="宋体"/>
        <charset val="129"/>
      </rPr>
      <t>用于西门子数控系统</t>
    </r>
    <phoneticPr fontId="4"/>
  </si>
  <si>
    <r>
      <t>넘용</t>
    </r>
    <r>
      <rPr>
        <sz val="9"/>
        <rFont val="Verdana"/>
        <family val="2"/>
      </rPr>
      <t xml:space="preserve"> CNC </t>
    </r>
    <r>
      <rPr>
        <sz val="9"/>
        <rFont val="돋움"/>
        <family val="3"/>
      </rPr>
      <t>프로그램</t>
    </r>
    <phoneticPr fontId="4"/>
  </si>
  <si>
    <t>Num用ＣＮＣプログラム</t>
    <phoneticPr fontId="4"/>
  </si>
  <si>
    <r>
      <t xml:space="preserve">Num </t>
    </r>
    <r>
      <rPr>
        <sz val="9"/>
        <rFont val="細明體"/>
        <family val="3"/>
      </rPr>
      <t>之</t>
    </r>
    <r>
      <rPr>
        <sz val="9"/>
        <rFont val="Verdana"/>
        <family val="2"/>
      </rPr>
      <t xml:space="preserve">CNC </t>
    </r>
    <r>
      <rPr>
        <sz val="9"/>
        <rFont val="細明體"/>
        <family val="3"/>
      </rPr>
      <t>銑牙程式</t>
    </r>
    <phoneticPr fontId="4"/>
  </si>
  <si>
    <r>
      <t>CNC</t>
    </r>
    <r>
      <rPr>
        <sz val="10"/>
        <rFont val="宋体"/>
        <charset val="129"/>
      </rPr>
      <t>程序</t>
    </r>
    <r>
      <rPr>
        <sz val="10"/>
        <rFont val="Arial"/>
        <family val="2"/>
      </rPr>
      <t xml:space="preserve">,  </t>
    </r>
    <r>
      <rPr>
        <sz val="10"/>
        <rFont val="宋体"/>
        <charset val="129"/>
      </rPr>
      <t>用于</t>
    </r>
    <r>
      <rPr>
        <sz val="10"/>
        <rFont val="Arial"/>
        <family val="2"/>
      </rPr>
      <t>NUM</t>
    </r>
    <r>
      <rPr>
        <sz val="10"/>
        <rFont val="宋体"/>
        <charset val="129"/>
      </rPr>
      <t>数控系统</t>
    </r>
    <phoneticPr fontId="4"/>
  </si>
  <si>
    <r>
      <t>파고르용</t>
    </r>
    <r>
      <rPr>
        <sz val="9"/>
        <rFont val="Verdana"/>
        <family val="2"/>
      </rPr>
      <t xml:space="preserve"> CNC </t>
    </r>
    <r>
      <rPr>
        <sz val="9"/>
        <rFont val="돋움"/>
        <family val="3"/>
      </rPr>
      <t>프로그램</t>
    </r>
    <phoneticPr fontId="4"/>
  </si>
  <si>
    <t>Fagor用プログラム</t>
    <phoneticPr fontId="4"/>
  </si>
  <si>
    <r>
      <t xml:space="preserve">Fagor </t>
    </r>
    <r>
      <rPr>
        <sz val="9"/>
        <rFont val="細明體"/>
        <family val="3"/>
      </rPr>
      <t>之</t>
    </r>
    <r>
      <rPr>
        <sz val="9"/>
        <rFont val="Verdana"/>
        <family val="2"/>
      </rPr>
      <t xml:space="preserve">CNC </t>
    </r>
    <r>
      <rPr>
        <sz val="9"/>
        <rFont val="細明體"/>
        <family val="3"/>
      </rPr>
      <t>銑牙程式</t>
    </r>
    <phoneticPr fontId="4"/>
  </si>
  <si>
    <r>
      <t>CNC</t>
    </r>
    <r>
      <rPr>
        <sz val="10"/>
        <rFont val="宋体"/>
        <charset val="129"/>
      </rPr>
      <t>程序</t>
    </r>
    <r>
      <rPr>
        <sz val="10"/>
        <rFont val="Arial"/>
        <family val="2"/>
      </rPr>
      <t xml:space="preserve">, </t>
    </r>
    <r>
      <rPr>
        <sz val="10"/>
        <rFont val="宋体"/>
        <charset val="129"/>
      </rPr>
      <t>用于发格数控系统</t>
    </r>
    <phoneticPr fontId="4"/>
  </si>
  <si>
    <r>
      <t>마작용</t>
    </r>
    <r>
      <rPr>
        <sz val="9"/>
        <rFont val="Verdana"/>
        <family val="2"/>
      </rPr>
      <t xml:space="preserve"> CNC </t>
    </r>
    <r>
      <rPr>
        <sz val="9"/>
        <rFont val="돋움"/>
        <family val="3"/>
      </rPr>
      <t>프로그램</t>
    </r>
    <phoneticPr fontId="4"/>
  </si>
  <si>
    <t>マザック用プログラム</t>
    <phoneticPr fontId="4"/>
  </si>
  <si>
    <r>
      <t xml:space="preserve">Mazak </t>
    </r>
    <r>
      <rPr>
        <sz val="9"/>
        <rFont val="細明體"/>
        <family val="3"/>
      </rPr>
      <t>之</t>
    </r>
    <r>
      <rPr>
        <sz val="9"/>
        <rFont val="Verdana"/>
        <family val="2"/>
      </rPr>
      <t xml:space="preserve">CNC </t>
    </r>
    <r>
      <rPr>
        <sz val="9"/>
        <rFont val="細明體"/>
        <family val="3"/>
      </rPr>
      <t>銑牙程式</t>
    </r>
    <phoneticPr fontId="4"/>
  </si>
  <si>
    <r>
      <t>CNC</t>
    </r>
    <r>
      <rPr>
        <sz val="10"/>
        <rFont val="宋体"/>
        <charset val="129"/>
      </rPr>
      <t>程序</t>
    </r>
    <r>
      <rPr>
        <sz val="10"/>
        <rFont val="Arial"/>
        <family val="2"/>
      </rPr>
      <t xml:space="preserve">, </t>
    </r>
    <r>
      <rPr>
        <sz val="10"/>
        <rFont val="宋体"/>
        <charset val="129"/>
      </rPr>
      <t>用于马扎克数控系统</t>
    </r>
    <phoneticPr fontId="4"/>
  </si>
  <si>
    <r>
      <t>미쓰비시용</t>
    </r>
    <r>
      <rPr>
        <sz val="9"/>
        <rFont val="Verdana"/>
        <family val="2"/>
      </rPr>
      <t xml:space="preserve"> CNC </t>
    </r>
    <r>
      <rPr>
        <sz val="9"/>
        <rFont val="돋움"/>
        <family val="3"/>
      </rPr>
      <t>프로그램</t>
    </r>
    <phoneticPr fontId="4"/>
  </si>
  <si>
    <t>三菱用プログラム</t>
    <phoneticPr fontId="4"/>
  </si>
  <si>
    <r>
      <t xml:space="preserve">Mitsubishi </t>
    </r>
    <r>
      <rPr>
        <sz val="9"/>
        <rFont val="細明體"/>
        <family val="3"/>
      </rPr>
      <t>之</t>
    </r>
    <r>
      <rPr>
        <sz val="9"/>
        <rFont val="Verdana"/>
        <family val="2"/>
      </rPr>
      <t xml:space="preserve">CNC </t>
    </r>
    <r>
      <rPr>
        <sz val="9"/>
        <rFont val="細明體"/>
        <family val="3"/>
      </rPr>
      <t>銑牙程式</t>
    </r>
    <phoneticPr fontId="4"/>
  </si>
  <si>
    <r>
      <t>CNC</t>
    </r>
    <r>
      <rPr>
        <sz val="10"/>
        <rFont val="宋体"/>
        <charset val="129"/>
      </rPr>
      <t>程序</t>
    </r>
    <r>
      <rPr>
        <sz val="10"/>
        <rFont val="Arial"/>
        <family val="2"/>
      </rPr>
      <t xml:space="preserve">, </t>
    </r>
    <r>
      <rPr>
        <sz val="10"/>
        <rFont val="宋体"/>
        <charset val="129"/>
      </rPr>
      <t>用于三菱数控系统</t>
    </r>
    <phoneticPr fontId="4"/>
  </si>
  <si>
    <t>쓰레드 밀링(나사가공)</t>
    <phoneticPr fontId="4"/>
  </si>
  <si>
    <t>螺纹铣削加工</t>
    <phoneticPr fontId="4"/>
  </si>
  <si>
    <t>사용전에 읽어주세요!</t>
    <phoneticPr fontId="4"/>
  </si>
  <si>
    <t>ご使用前によくお読み下さい！</t>
    <phoneticPr fontId="4"/>
  </si>
  <si>
    <t>使用前請先閱讀</t>
    <phoneticPr fontId="4"/>
  </si>
  <si>
    <r>
      <t>请在使用前阅读</t>
    </r>
    <r>
      <rPr>
        <sz val="10"/>
        <rFont val="Arial"/>
        <family val="2"/>
      </rPr>
      <t>!</t>
    </r>
    <phoneticPr fontId="4"/>
  </si>
  <si>
    <t>Thread Milling</t>
    <phoneticPr fontId="4"/>
  </si>
  <si>
    <t>쓰레드 밀링(나사가공)</t>
    <phoneticPr fontId="4"/>
  </si>
  <si>
    <t>Thread Milling and Chamfering</t>
    <phoneticPr fontId="4"/>
  </si>
  <si>
    <t>S = säkerhetsavstånd (mm)</t>
  </si>
  <si>
    <t>Program CNC pentru Num</t>
  </si>
  <si>
    <t>T= timp de frezare a filetului ( sec. )</t>
  </si>
  <si>
    <t>Program CNC pentru Fanuc</t>
  </si>
  <si>
    <t>Program CNC pentru Siemens</t>
  </si>
  <si>
    <t>CNC ohjelma Fanukille</t>
  </si>
  <si>
    <t>CNC ohjelma Siemensille</t>
  </si>
  <si>
    <t>CNC ohjelma Nunnille</t>
  </si>
  <si>
    <t>CNC ohjelma Fagorille</t>
  </si>
  <si>
    <t>CNC ohjema Masakille</t>
  </si>
  <si>
    <t>CNC ohjelma Mitsubisille</t>
  </si>
  <si>
    <t>Kierrejyrsintä</t>
  </si>
  <si>
    <t>Lue ennen käyttöä</t>
  </si>
  <si>
    <t>실제치수(od)</t>
    <phoneticPr fontId="4"/>
  </si>
  <si>
    <r>
      <t>나사직경(</t>
    </r>
    <r>
      <rPr>
        <b/>
        <sz val="10"/>
        <rFont val="Verdana"/>
        <family val="2"/>
      </rPr>
      <t>D)</t>
    </r>
    <phoneticPr fontId="4"/>
  </si>
  <si>
    <t>피치</t>
    <phoneticPr fontId="4"/>
  </si>
  <si>
    <t>나사길이</t>
    <phoneticPr fontId="4"/>
  </si>
  <si>
    <t>나사규격</t>
    <phoneticPr fontId="4"/>
  </si>
  <si>
    <t>조건부합</t>
    <phoneticPr fontId="4"/>
  </si>
  <si>
    <r>
      <t>☞</t>
    </r>
    <r>
      <rPr>
        <sz val="9"/>
        <rFont val="Verdana"/>
        <family val="2"/>
      </rPr>
      <t xml:space="preserve"> Internal Thread Milling in Machining Center</t>
    </r>
    <phoneticPr fontId="4"/>
  </si>
  <si>
    <r>
      <t>☞</t>
    </r>
    <r>
      <rPr>
        <sz val="9"/>
        <rFont val="Verdana"/>
        <family val="2"/>
      </rPr>
      <t xml:space="preserve"> Gewindefräsen innen in der Fräsmachine</t>
    </r>
    <phoneticPr fontId="4"/>
  </si>
  <si>
    <t>☞ 머시닝 센터에서의 내경 쓰레드 밀링(나사가공)</t>
    <phoneticPr fontId="4"/>
  </si>
  <si>
    <t>☞ 화낙</t>
    <phoneticPr fontId="4"/>
  </si>
  <si>
    <r>
      <t>☞</t>
    </r>
    <r>
      <rPr>
        <sz val="9"/>
        <rFont val="Verdana"/>
        <family val="2"/>
      </rPr>
      <t xml:space="preserve"> Fanuc</t>
    </r>
    <phoneticPr fontId="4"/>
  </si>
  <si>
    <t>No. of pass</t>
    <phoneticPr fontId="4"/>
  </si>
  <si>
    <t>acier, taux de carbone élévé, &lt; 0,85% C, &lt; 850 N/mm2</t>
  </si>
  <si>
    <t>acier, faible alliage, &lt; 850 N/mm2</t>
  </si>
  <si>
    <t>acier, alliage elevé, &lt; 1200 N/mm2</t>
  </si>
  <si>
    <t>acier, trempé, &lt; 45 HRC</t>
  </si>
  <si>
    <t>acier, trempé, &lt; 55 HRC</t>
  </si>
  <si>
    <t>acier, trempé, &lt; 65 HRC</t>
  </si>
  <si>
    <t>Fonte d'acier, Lamellar Graphite, &lt; 500 N/mm2</t>
  </si>
  <si>
    <t>Wewntrzne frezowanie gwintów na centra obróbcze</t>
  </si>
  <si>
    <t xml:space="preserve">Wewntrzne frezowanie gwintów na tokarkach </t>
  </si>
  <si>
    <t>Stal, niskowęglowa, &lt; 0,25% C, &lt; 400 N/mm2</t>
  </si>
  <si>
    <t>Stal ,średniowęglowa, &lt; 0,55% C, &lt; 700 N/mm2</t>
  </si>
  <si>
    <t>Stal, wysokowęglowa, &lt; 0,85% C, &lt; 850 N/mm2</t>
  </si>
  <si>
    <t>Aluminium ,Niestopowe</t>
  </si>
  <si>
    <t>Aluminium ,Stopowe, &lt; 0.5% Si</t>
  </si>
  <si>
    <t>Aluminium ,Stopowe, &lt; 10% Si</t>
  </si>
  <si>
    <t>Aluminium ,Stopowe, &gt; 10% Si</t>
  </si>
  <si>
    <t>D=Średnica gwintu</t>
  </si>
  <si>
    <t>P= skok(mm)</t>
  </si>
  <si>
    <t>P= skok(TPI)</t>
  </si>
  <si>
    <t>L= Długość gwintu (mm)</t>
  </si>
  <si>
    <t>Cuivre, Bronze trempé, &lt; 1500 N/mm2</t>
  </si>
  <si>
    <t>Alluminium, non allié</t>
  </si>
  <si>
    <t>Alluminium, allié, &lt; 0,5% Si</t>
  </si>
  <si>
    <t>Alluminium, allié, &lt; 10% Si</t>
  </si>
  <si>
    <t>D= diamètre de taraudage (mm)</t>
  </si>
  <si>
    <t>P= pas (mm)</t>
  </si>
  <si>
    <t>P= pas (TPI)</t>
  </si>
  <si>
    <t>Otel cu continut ridicat de carbon ; &lt; 0,85% C, &lt; 850 N/mm2</t>
  </si>
  <si>
    <t>Otel slab aliat ; &lt; 850 N/mm2</t>
  </si>
  <si>
    <t>Otel inalt aliat ; &lt; 1200 N/mm2</t>
  </si>
  <si>
    <t>Otel calit ; &lt; 45 HRC</t>
  </si>
  <si>
    <t>Otel calit ; &lt; 55 HRC</t>
  </si>
  <si>
    <t>Otel calit ; &lt; 65 HRC</t>
  </si>
  <si>
    <t>Fonta , Grafit Lamelar ; &lt; 500 N/mm2</t>
  </si>
  <si>
    <t>filete interioare - frezate pe centre de prelucrat</t>
  </si>
  <si>
    <t>filete interioare - frezate pe strung - scula antrenata</t>
  </si>
  <si>
    <t xml:space="preserve">Num </t>
  </si>
  <si>
    <t>UN - filet UN</t>
  </si>
  <si>
    <t>BSPT - Filet pentru tevi BSPT</t>
  </si>
  <si>
    <t xml:space="preserve">NPT - Filet pentru tevi NPPT </t>
  </si>
  <si>
    <t xml:space="preserve"> Program CNC dla Fagora</t>
  </si>
  <si>
    <t xml:space="preserve"> Program CNC dla Mazaka</t>
  </si>
  <si>
    <t xml:space="preserve"> Program CNC dla Mitsubishi</t>
  </si>
  <si>
    <t>Frezowanie gwintu</t>
  </si>
  <si>
    <t>Proszę przeczytać przed urzyciem!</t>
  </si>
  <si>
    <t>Fonte d'acier, Nodular Grap., malleable, &lt; 1000 N/mm2</t>
  </si>
  <si>
    <t xml:space="preserve">Acier inoxydable, </t>
  </si>
  <si>
    <t>Acier inoxydable, austenique</t>
  </si>
  <si>
    <t>T= temps nécessaire pour fraiser le filetage (seconds)</t>
  </si>
  <si>
    <t>CNC programme pour Fanuc</t>
  </si>
  <si>
    <t>CNC programme pour Siemens</t>
  </si>
  <si>
    <t>Fonte d'acier, Nodular Grap., malleable, &lt; 700 N/mm2</t>
  </si>
  <si>
    <t>z = Anzahl Schneiden</t>
  </si>
  <si>
    <t>z = number of flutes</t>
  </si>
  <si>
    <t>Nederlands</t>
  </si>
  <si>
    <t>Português</t>
  </si>
  <si>
    <t>Français</t>
  </si>
  <si>
    <t>Italiano</t>
  </si>
  <si>
    <t>Norsk</t>
  </si>
  <si>
    <t>Polski</t>
  </si>
  <si>
    <t>Aluminium, legiert, &gt; 10% Si</t>
  </si>
  <si>
    <t>Graphit</t>
  </si>
  <si>
    <t>M - Metrisch</t>
  </si>
  <si>
    <t>NPSF - Rohrgewinde</t>
  </si>
  <si>
    <t>NPSF - Pipe Thread</t>
  </si>
  <si>
    <t>L = Gewindelänge (mm)</t>
  </si>
  <si>
    <t>Deutsch</t>
  </si>
  <si>
    <t>English</t>
  </si>
  <si>
    <t>Aluminium, Alloyed, &gt; 10% Si</t>
  </si>
  <si>
    <t>Inconel 718</t>
  </si>
  <si>
    <t>Nichel , Aliat ; &lt; 1250 N/mm2</t>
  </si>
  <si>
    <t>Cupru , Nealiat ; &lt; 350 N/mm2</t>
  </si>
  <si>
    <t>Stainless steel, Austenitic</t>
  </si>
  <si>
    <t>Aluminiu Aliat ; &lt; 0.5% Si</t>
  </si>
  <si>
    <t>제품번호</t>
    <phoneticPr fontId="4"/>
  </si>
  <si>
    <t>제품번호(결과내)</t>
    <phoneticPr fontId="4"/>
  </si>
  <si>
    <t>Number of passes, radial (max 2)</t>
    <phoneticPr fontId="4"/>
  </si>
  <si>
    <t>10011, 1 pass, Taper, Fanuc</t>
    <phoneticPr fontId="4"/>
  </si>
  <si>
    <t>10021, 2 pass, Taper, Fanuc</t>
    <phoneticPr fontId="4"/>
  </si>
  <si>
    <t>NPT - Filettatura per tubi conica Americana</t>
  </si>
  <si>
    <t>中文(简体) (kinesiska, förenklad)</t>
  </si>
  <si>
    <t>中文(简体)</t>
  </si>
  <si>
    <t>Filetage interne par interpolation sur CNC fraiseuse</t>
  </si>
  <si>
    <t>Filetage interne par interpolation sur CNC tour</t>
  </si>
  <si>
    <t>M</t>
  </si>
  <si>
    <t>UN</t>
  </si>
  <si>
    <t xml:space="preserve">G  </t>
  </si>
  <si>
    <t>BSPT</t>
  </si>
  <si>
    <t>NPT</t>
  </si>
  <si>
    <t>NPSF</t>
  </si>
  <si>
    <t>Stal Nierdzewna, Ferrytyczna i Austenityczna</t>
  </si>
  <si>
    <t>Titan, Niestopowy &lt; 700 N/mm2</t>
  </si>
  <si>
    <t>Titan , Stopowy, &lt; 900 N/mm2</t>
  </si>
  <si>
    <t>Titan , Stopowy, &lt; 1250 N/mm2</t>
  </si>
  <si>
    <t>Nikiel Niestopowy&lt; 500 N/mm2</t>
  </si>
  <si>
    <t>Nikiel Stopowy, &lt; 900 N/mm2</t>
  </si>
  <si>
    <t>Nikiel Stopowy, &lt; 1250 N/mm2</t>
  </si>
  <si>
    <t>Miedź  Niestopowa &lt; 350 N/mm2</t>
  </si>
  <si>
    <t>Miedź,Mosiąz,Brąz &lt; 700 N/mm2</t>
  </si>
  <si>
    <t>CL</t>
    <phoneticPr fontId="4"/>
  </si>
  <si>
    <t xml:space="preserve"> X0.</t>
    <phoneticPr fontId="4"/>
  </si>
  <si>
    <t xml:space="preserve"> Y0.</t>
    <phoneticPr fontId="4"/>
  </si>
  <si>
    <t xml:space="preserve"> Y</t>
    <phoneticPr fontId="4"/>
  </si>
  <si>
    <t>G41</t>
    <phoneticPr fontId="4"/>
  </si>
  <si>
    <t xml:space="preserve"> F</t>
    <phoneticPr fontId="4"/>
  </si>
  <si>
    <t>G00</t>
    <phoneticPr fontId="4"/>
  </si>
  <si>
    <t xml:space="preserve">이 프로그램에서, 툴링의 보정은 아주 작은 조절을 위해서 만 사용됩니다.                    이것은 작은 움직임인 반경의 보정이 발생되었을 때, 문제들을 제거할 것입니다.                     그러므로 컨트롤 시스템의 툴링 라이브러리에서 공구 직경은 제로에 가까운 값을  선택하십시오. </t>
    <phoneticPr fontId="4"/>
  </si>
  <si>
    <t>L = longitud de la rosca (mm)</t>
  </si>
  <si>
    <t>Invändig gängfräsning i svarv med drivna verktyg</t>
  </si>
  <si>
    <t>Número de pasadas, radial (max 3)</t>
  </si>
  <si>
    <t>Número de pasadas, axial</t>
  </si>
  <si>
    <t>Fanuc</t>
  </si>
  <si>
    <t>l = fräsens skärkantlängd (mm)</t>
  </si>
  <si>
    <t>V = velocidad de corte (m/min)</t>
  </si>
  <si>
    <t>V = skärhastighet (m/min)</t>
  </si>
  <si>
    <t>Fz = matning/tand (mm/tand)</t>
  </si>
  <si>
    <t>antal pass, axiellt</t>
  </si>
  <si>
    <t>N = varvtal (varv/min)</t>
  </si>
  <si>
    <t>programa CNC para Fagor</t>
  </si>
  <si>
    <t>Hierro fundido, lámina de grafito, &lt; 500 N/mm2</t>
  </si>
  <si>
    <t>Hierro fundido, lámina de grafito, &lt; 1000 N/mm2</t>
  </si>
  <si>
    <t>Cobre, no aleado, &lt; 350 N/mm2</t>
  </si>
  <si>
    <t>NPTF - dryseal, rosca de tubo cónica</t>
  </si>
  <si>
    <t>P</t>
  </si>
  <si>
    <t>l</t>
  </si>
  <si>
    <t>L</t>
  </si>
  <si>
    <t>d = cutter diameter (mm)</t>
  </si>
  <si>
    <t>d = Fräser-Durchmesser (mm)</t>
  </si>
  <si>
    <t>In this program, compensation of tooling is only used for smaller adjustments. This will eliminate problems which can occur when one uses compensation of radius in short movements. Chose therefore a value close to zero for cutter diameter in tooling library of the control system.</t>
  </si>
  <si>
    <t>Kupfer, hochfeste Bronze, &lt; 1500 N/mm2</t>
  </si>
  <si>
    <t>Aluminium, unlegiert</t>
  </si>
  <si>
    <t>Aluminium, legiert, &lt; 0.5% Si</t>
  </si>
  <si>
    <t>Gußeisen mit Lamellengraphit, &lt; 1000 N/mm2</t>
  </si>
  <si>
    <t>Gußeisen mit Kugelgraphit, &lt; 700 N/mm2</t>
  </si>
  <si>
    <t>Stahl, Kohlenstoffgehalt 0,25-0,55%, 700 N/mm2</t>
  </si>
  <si>
    <t>Aluminio, aleado, &gt; 10% Si</t>
  </si>
  <si>
    <t>P = Steigung (mm)</t>
  </si>
  <si>
    <t>Fd</t>
  </si>
  <si>
    <t>T</t>
  </si>
  <si>
    <t>Gängfräsning</t>
  </si>
  <si>
    <t>Compensation of Tooling</t>
  </si>
  <si>
    <t>Correct Thread Diameter right away</t>
  </si>
  <si>
    <t>Stahl, hochlegiert, &lt; 1200 N/mm2</t>
  </si>
  <si>
    <t>Stahl, gerhärtet, &lt; 45 HRC</t>
  </si>
  <si>
    <t>Stahl, gerhärtet, &lt; 55 HRC</t>
  </si>
  <si>
    <t>Stahl, niedriglegiert, &lt; 850 N/mm2</t>
  </si>
  <si>
    <t>Steel, Medium Carbon, &lt; 0,55% C, &lt; 700 N/mm2</t>
  </si>
  <si>
    <t>Cast iron, Nodular Grap., Malleable, &lt; 700 N/mm2</t>
  </si>
  <si>
    <t>CNC Programm für Fagor</t>
  </si>
  <si>
    <t>Español</t>
  </si>
  <si>
    <t>N = spindle speed (rpm)</t>
  </si>
  <si>
    <t>Cobre, bronze de alta resistencia, &lt; 1500 N/mm2</t>
  </si>
  <si>
    <t>Cobre, latón, bronze, &lt; 700 N/mm2</t>
  </si>
  <si>
    <t>programa CNC para Num</t>
  </si>
  <si>
    <t>Steel, Low Alloy, &lt; 850 N/mm2</t>
  </si>
  <si>
    <t>l = length of cutting edge (mm)</t>
  </si>
  <si>
    <t>D = thread diameter (mm)</t>
  </si>
  <si>
    <t>Steel, Hardened, &lt; 45 HRC</t>
  </si>
  <si>
    <t>Steel, Hardened, &lt; 55 HRC</t>
  </si>
  <si>
    <t>Aluminio, no aleado</t>
  </si>
  <si>
    <t>Aluminio, aleado, &lt; 0.5% Si</t>
  </si>
  <si>
    <t>Aluminio, aleado, &lt; 10% Si</t>
  </si>
  <si>
    <t>FD = feed at thread diameter (mm/min)</t>
  </si>
  <si>
    <t>T = tid att fräsa gängan (sekunder)</t>
  </si>
  <si>
    <t>Titan, unlegiert, &lt; 700 N/mm2</t>
  </si>
  <si>
    <t>Titan, legiert, &lt; 900 N/mm2</t>
  </si>
  <si>
    <t>1021, 2 pass, microfräsar, Fanuc</t>
  </si>
  <si>
    <t>WHILE[#2LT#1]DO2</t>
  </si>
  <si>
    <t>END2</t>
  </si>
  <si>
    <t>Nickel, Unalloyed, &lt; 500 N/mm2</t>
  </si>
  <si>
    <t>Gjutjärn, gråjärn, &lt; 500 N/mm2</t>
  </si>
  <si>
    <t>Fd = feed in center of mill (mm/min)</t>
  </si>
  <si>
    <t>T = time to mill the thread (seconds)</t>
  </si>
  <si>
    <t>Fz = feed/tooth (mm/tooth)</t>
  </si>
  <si>
    <t>rostfreier Stahl, ferritisch und austenitisch</t>
  </si>
  <si>
    <t>Axiell förfl.</t>
  </si>
  <si>
    <t>P = Steigung (TPI)</t>
  </si>
  <si>
    <t>CNC Programm für Fanuc</t>
  </si>
  <si>
    <t>CNC Programm für Siemens</t>
  </si>
  <si>
    <t>Aluminium, legerat, &lt; 10% Si</t>
  </si>
  <si>
    <t>Aluminium, legerat, &gt; 10% Si</t>
  </si>
  <si>
    <t>Grafit</t>
  </si>
  <si>
    <t>M - Metrico</t>
  </si>
  <si>
    <t>Nickel, legerat, &lt; 1250 N/mm2</t>
  </si>
  <si>
    <t>Fz = avance/labio (mm/labio)</t>
  </si>
  <si>
    <t>N = velocidad de giro (v/min)</t>
  </si>
  <si>
    <t>Roscado interior en un torno</t>
  </si>
  <si>
    <t>Roscado interior en una fresadora</t>
  </si>
  <si>
    <t>Bitte unbedingt vor Gebrauch lesen!</t>
  </si>
  <si>
    <t>CNC program för Mitsubishi</t>
  </si>
  <si>
    <t>Aço, templado, &lt; 65 HRC</t>
  </si>
  <si>
    <t>Rosca interior em uma fresadora</t>
  </si>
  <si>
    <t xml:space="preserve">Rosca interior em uma torneadora </t>
  </si>
  <si>
    <t>com equipamento de movimento próprio</t>
  </si>
  <si>
    <t>M - Métrico</t>
  </si>
  <si>
    <t>BSPT - rosca para canos cônicos</t>
  </si>
  <si>
    <t>NPT - rosca para canos cônicos</t>
  </si>
  <si>
    <t>NPTF - dryseal, rosca para canos cônicos</t>
  </si>
  <si>
    <t>Медь, латунь, бронза, &lt; 700 Н/мм2</t>
  </si>
  <si>
    <t>日本語 (japanska)</t>
  </si>
  <si>
    <t>日本語</t>
  </si>
  <si>
    <t>G 1/16"</t>
    <phoneticPr fontId="4"/>
  </si>
  <si>
    <t>G 1/8"</t>
    <phoneticPr fontId="4"/>
  </si>
  <si>
    <t>G 1/4"</t>
    <phoneticPr fontId="4"/>
  </si>
  <si>
    <t>G 3/8"</t>
    <phoneticPr fontId="4"/>
  </si>
  <si>
    <t>G 1/2"</t>
    <phoneticPr fontId="4"/>
  </si>
  <si>
    <t>G 3/4"</t>
    <phoneticPr fontId="4"/>
  </si>
  <si>
    <t>G 1"</t>
    <phoneticPr fontId="4"/>
  </si>
  <si>
    <t>NPT 1/16"</t>
    <phoneticPr fontId="4"/>
  </si>
  <si>
    <t>NPT 1/8"</t>
    <phoneticPr fontId="4"/>
  </si>
  <si>
    <t>NPT 1/4"</t>
    <phoneticPr fontId="4"/>
  </si>
  <si>
    <t>NPT 3/8"</t>
    <phoneticPr fontId="4"/>
  </si>
  <si>
    <t>Bild</t>
    <phoneticPr fontId="4"/>
  </si>
  <si>
    <t>D = thread diameter (Inch)</t>
    <phoneticPr fontId="28" type="noConversion"/>
  </si>
  <si>
    <t>L = thread length (Inch)</t>
    <phoneticPr fontId="28" type="noConversion"/>
  </si>
  <si>
    <t>S = safety distance (Inch)</t>
    <phoneticPr fontId="28" type="noConversion"/>
  </si>
  <si>
    <r>
      <t>ds = chamfering diameter</t>
    </r>
    <r>
      <rPr>
        <sz val="9"/>
        <rFont val="돋움"/>
        <family val="3"/>
        <charset val="129"/>
      </rPr>
      <t xml:space="preserve"> (Inch)</t>
    </r>
    <phoneticPr fontId="4"/>
  </si>
  <si>
    <r>
      <t>Ls = drilling depth</t>
    </r>
    <r>
      <rPr>
        <sz val="9"/>
        <rFont val="돋움"/>
        <family val="3"/>
        <charset val="129"/>
      </rPr>
      <t xml:space="preserve"> (Inch)</t>
    </r>
    <phoneticPr fontId="4"/>
  </si>
  <si>
    <t>d = cutter diameter (Inch)</t>
    <phoneticPr fontId="28" type="noConversion"/>
  </si>
  <si>
    <t>l = length of cutting edge (Inch)</t>
    <phoneticPr fontId="28" type="noConversion"/>
  </si>
  <si>
    <t>V = cutting speed (SFM)</t>
    <phoneticPr fontId="28" type="noConversion"/>
  </si>
  <si>
    <t>Fz = feed/tooth (inch/tooth)</t>
    <phoneticPr fontId="28" type="noConversion"/>
  </si>
  <si>
    <t>FD = feed at thread diameter (inch/min)</t>
    <phoneticPr fontId="28" type="noConversion"/>
  </si>
  <si>
    <t>Fd = feed in center of mill (inch/min)</t>
    <phoneticPr fontId="28" type="noConversion"/>
  </si>
  <si>
    <r>
      <t>Fdr = drilling feed</t>
    </r>
    <r>
      <rPr>
        <sz val="9"/>
        <rFont val="돋움"/>
        <family val="3"/>
        <charset val="129"/>
      </rPr>
      <t>(inch/rev.)</t>
    </r>
    <phoneticPr fontId="4"/>
  </si>
  <si>
    <t>D = Gewinde-Durchmesser (Inch)</t>
    <phoneticPr fontId="28" type="noConversion"/>
  </si>
  <si>
    <t>L = Gewindelänge (Inch)</t>
    <phoneticPr fontId="28" type="noConversion"/>
  </si>
  <si>
    <t>S = Sicherheitsabstand (Inch)</t>
    <phoneticPr fontId="28" type="noConversion"/>
  </si>
  <si>
    <r>
      <t>ds = Fasen-Durchmesser</t>
    </r>
    <r>
      <rPr>
        <sz val="9"/>
        <rFont val="돋움"/>
        <family val="3"/>
        <charset val="129"/>
      </rPr>
      <t xml:space="preserve"> (Inch)</t>
    </r>
    <phoneticPr fontId="4"/>
  </si>
  <si>
    <r>
      <t>Ls = Bohrtiefe</t>
    </r>
    <r>
      <rPr>
        <sz val="9"/>
        <rFont val="돋움"/>
        <family val="3"/>
        <charset val="129"/>
      </rPr>
      <t xml:space="preserve"> (Inch)</t>
    </r>
    <phoneticPr fontId="4"/>
  </si>
  <si>
    <t>d = Fräser-Durchmesser (Inch)</t>
    <phoneticPr fontId="28" type="noConversion"/>
  </si>
  <si>
    <t>l = Schneidelänge des Fräsers (Inch)</t>
    <phoneticPr fontId="28" type="noConversion"/>
  </si>
  <si>
    <t>V = Schnittgeschwindigkeit (SFM)</t>
    <phoneticPr fontId="28" type="noConversion"/>
  </si>
  <si>
    <t>Fz = Vorschub/Schneide (inch/Schneide)</t>
    <phoneticPr fontId="28" type="noConversion"/>
  </si>
  <si>
    <t>FD = Vorschub am Gewinde Ø (inch/min)</t>
    <phoneticPr fontId="28" type="noConversion"/>
  </si>
  <si>
    <t>Fd = Vorschub im Fräser-Zentrum (inch/min)</t>
    <phoneticPr fontId="28" type="noConversion"/>
  </si>
  <si>
    <r>
      <t>Fdr = Vorschub Bohren</t>
    </r>
    <r>
      <rPr>
        <sz val="9"/>
        <rFont val="돋움"/>
        <family val="3"/>
        <charset val="129"/>
      </rPr>
      <t>(inch/rev.)</t>
    </r>
    <phoneticPr fontId="4"/>
  </si>
  <si>
    <r>
      <t xml:space="preserve">D = </t>
    </r>
    <r>
      <rPr>
        <sz val="9"/>
        <rFont val="돋움"/>
        <family val="3"/>
      </rPr>
      <t>나사</t>
    </r>
    <r>
      <rPr>
        <sz val="9"/>
        <rFont val="Verdana"/>
        <family val="2"/>
      </rPr>
      <t xml:space="preserve"> </t>
    </r>
    <r>
      <rPr>
        <sz val="9"/>
        <rFont val="돋움"/>
        <family val="3"/>
      </rPr>
      <t>직경</t>
    </r>
    <r>
      <rPr>
        <sz val="9"/>
        <rFont val="Verdana"/>
        <family val="2"/>
      </rPr>
      <t xml:space="preserve"> (Inch)</t>
    </r>
    <phoneticPr fontId="4"/>
  </si>
  <si>
    <r>
      <t xml:space="preserve">L = </t>
    </r>
    <r>
      <rPr>
        <sz val="9"/>
        <rFont val="돋움"/>
        <family val="3"/>
      </rPr>
      <t>나사</t>
    </r>
    <r>
      <rPr>
        <sz val="9"/>
        <rFont val="Verdana"/>
        <family val="2"/>
      </rPr>
      <t xml:space="preserve"> </t>
    </r>
    <r>
      <rPr>
        <sz val="9"/>
        <rFont val="돋움"/>
        <family val="3"/>
      </rPr>
      <t>길이</t>
    </r>
    <r>
      <rPr>
        <sz val="9"/>
        <rFont val="Verdana"/>
        <family val="2"/>
      </rPr>
      <t xml:space="preserve"> (Inch)</t>
    </r>
    <phoneticPr fontId="4"/>
  </si>
  <si>
    <r>
      <t xml:space="preserve">S = </t>
    </r>
    <r>
      <rPr>
        <sz val="9"/>
        <rFont val="돋움"/>
        <family val="3"/>
      </rPr>
      <t>안전</t>
    </r>
    <r>
      <rPr>
        <sz val="9"/>
        <rFont val="Verdana"/>
        <family val="2"/>
      </rPr>
      <t xml:space="preserve"> </t>
    </r>
    <r>
      <rPr>
        <sz val="9"/>
        <rFont val="돋움"/>
        <family val="3"/>
      </rPr>
      <t>거리</t>
    </r>
    <r>
      <rPr>
        <sz val="9"/>
        <rFont val="Verdana"/>
        <family val="2"/>
      </rPr>
      <t xml:space="preserve"> (Inch)</t>
    </r>
    <phoneticPr fontId="4"/>
  </si>
  <si>
    <r>
      <t xml:space="preserve">ds = </t>
    </r>
    <r>
      <rPr>
        <sz val="9"/>
        <rFont val="돋움"/>
        <family val="3"/>
        <charset val="129"/>
      </rPr>
      <t>챔퍼</t>
    </r>
    <r>
      <rPr>
        <sz val="9"/>
        <rFont val="Verdana"/>
        <family val="2"/>
      </rPr>
      <t xml:space="preserve"> </t>
    </r>
    <r>
      <rPr>
        <sz val="9"/>
        <rFont val="돋움"/>
        <family val="3"/>
        <charset val="129"/>
      </rPr>
      <t>크기 (Inch)</t>
    </r>
    <phoneticPr fontId="4"/>
  </si>
  <si>
    <r>
      <t xml:space="preserve">Ls = </t>
    </r>
    <r>
      <rPr>
        <sz val="9"/>
        <rFont val="돋움"/>
        <family val="3"/>
        <charset val="129"/>
      </rPr>
      <t>드릴링</t>
    </r>
    <r>
      <rPr>
        <sz val="9"/>
        <rFont val="Verdana"/>
        <family val="2"/>
      </rPr>
      <t xml:space="preserve"> </t>
    </r>
    <r>
      <rPr>
        <sz val="9"/>
        <rFont val="돋움"/>
        <family val="3"/>
        <charset val="129"/>
      </rPr>
      <t>깊이 (Inch)</t>
    </r>
    <phoneticPr fontId="4"/>
  </si>
  <si>
    <r>
      <t xml:space="preserve">d = </t>
    </r>
    <r>
      <rPr>
        <sz val="9"/>
        <rFont val="돋움"/>
        <family val="3"/>
      </rPr>
      <t>공구</t>
    </r>
    <r>
      <rPr>
        <sz val="9"/>
        <rFont val="Verdana"/>
        <family val="2"/>
      </rPr>
      <t xml:space="preserve"> </t>
    </r>
    <r>
      <rPr>
        <sz val="9"/>
        <rFont val="돋움"/>
        <family val="3"/>
      </rPr>
      <t>직경</t>
    </r>
    <r>
      <rPr>
        <sz val="9"/>
        <rFont val="Verdana"/>
        <family val="2"/>
      </rPr>
      <t xml:space="preserve"> (Inch)</t>
    </r>
    <phoneticPr fontId="4"/>
  </si>
  <si>
    <r>
      <t xml:space="preserve">l = </t>
    </r>
    <r>
      <rPr>
        <sz val="9"/>
        <rFont val="돋움"/>
        <family val="3"/>
      </rPr>
      <t>절삭날</t>
    </r>
    <r>
      <rPr>
        <sz val="9"/>
        <rFont val="Verdana"/>
        <family val="2"/>
      </rPr>
      <t xml:space="preserve"> </t>
    </r>
    <r>
      <rPr>
        <sz val="9"/>
        <rFont val="돋움"/>
        <family val="3"/>
      </rPr>
      <t>길이</t>
    </r>
    <r>
      <rPr>
        <sz val="9"/>
        <rFont val="Verdana"/>
        <family val="2"/>
      </rPr>
      <t xml:space="preserve"> (Inch)</t>
    </r>
    <phoneticPr fontId="4"/>
  </si>
  <si>
    <r>
      <t xml:space="preserve">V = </t>
    </r>
    <r>
      <rPr>
        <sz val="9"/>
        <rFont val="돋움"/>
        <family val="3"/>
      </rPr>
      <t>절삭속도</t>
    </r>
    <r>
      <rPr>
        <sz val="9"/>
        <rFont val="Verdana"/>
        <family val="2"/>
      </rPr>
      <t xml:space="preserve"> (SFM)</t>
    </r>
    <phoneticPr fontId="4"/>
  </si>
  <si>
    <r>
      <t xml:space="preserve">FD = </t>
    </r>
    <r>
      <rPr>
        <sz val="9"/>
        <rFont val="돋움"/>
        <family val="3"/>
      </rPr>
      <t>나사</t>
    </r>
    <r>
      <rPr>
        <sz val="9"/>
        <rFont val="Verdana"/>
        <family val="2"/>
      </rPr>
      <t xml:space="preserve"> </t>
    </r>
    <r>
      <rPr>
        <sz val="9"/>
        <rFont val="돋움"/>
        <family val="3"/>
      </rPr>
      <t>외경에서의</t>
    </r>
    <r>
      <rPr>
        <sz val="9"/>
        <rFont val="Verdana"/>
        <family val="2"/>
      </rPr>
      <t xml:space="preserve"> </t>
    </r>
    <r>
      <rPr>
        <sz val="9"/>
        <rFont val="돋움"/>
        <family val="3"/>
      </rPr>
      <t>이송</t>
    </r>
    <r>
      <rPr>
        <sz val="9"/>
        <rFont val="Verdana"/>
        <family val="2"/>
      </rPr>
      <t>(inch/min)</t>
    </r>
    <phoneticPr fontId="4"/>
  </si>
  <si>
    <r>
      <t xml:space="preserve">Fd = </t>
    </r>
    <r>
      <rPr>
        <sz val="9"/>
        <rFont val="돋움"/>
        <family val="3"/>
      </rPr>
      <t>공구</t>
    </r>
    <r>
      <rPr>
        <sz val="9"/>
        <rFont val="Verdana"/>
        <family val="2"/>
      </rPr>
      <t xml:space="preserve"> </t>
    </r>
    <r>
      <rPr>
        <sz val="9"/>
        <rFont val="돋움"/>
        <family val="3"/>
      </rPr>
      <t>중심에서의</t>
    </r>
    <r>
      <rPr>
        <sz val="9"/>
        <rFont val="Verdana"/>
        <family val="2"/>
      </rPr>
      <t xml:space="preserve"> </t>
    </r>
    <r>
      <rPr>
        <sz val="9"/>
        <rFont val="돋움"/>
        <family val="3"/>
      </rPr>
      <t>이송</t>
    </r>
    <r>
      <rPr>
        <sz val="9"/>
        <rFont val="Verdana"/>
        <family val="2"/>
      </rPr>
      <t>(inch/min)</t>
    </r>
    <phoneticPr fontId="4"/>
  </si>
  <si>
    <r>
      <t xml:space="preserve">Fz = </t>
    </r>
    <r>
      <rPr>
        <sz val="9"/>
        <rFont val="돋움"/>
        <family val="3"/>
      </rPr>
      <t>이송</t>
    </r>
    <r>
      <rPr>
        <sz val="9"/>
        <rFont val="Verdana"/>
        <family val="2"/>
      </rPr>
      <t>/</t>
    </r>
    <r>
      <rPr>
        <sz val="9"/>
        <rFont val="돋움"/>
        <family val="3"/>
      </rPr>
      <t>날당</t>
    </r>
    <r>
      <rPr>
        <sz val="9"/>
        <rFont val="Verdana"/>
        <family val="2"/>
      </rPr>
      <t>(inch/tooth)</t>
    </r>
    <phoneticPr fontId="4"/>
  </si>
  <si>
    <r>
      <t xml:space="preserve">Fdr = </t>
    </r>
    <r>
      <rPr>
        <sz val="9"/>
        <rFont val="돋움"/>
        <family val="3"/>
        <charset val="129"/>
      </rPr>
      <t>이송/회전당, 드릴링(inch/rev.)</t>
    </r>
    <phoneticPr fontId="4"/>
  </si>
  <si>
    <t>Program No.</t>
    <phoneticPr fontId="28" type="noConversion"/>
  </si>
  <si>
    <t>M0620C1375  3.0P  TD780</t>
    <phoneticPr fontId="28" type="noConversion"/>
  </si>
  <si>
    <t>M0495C1250  2.5P  TD700</t>
    <phoneticPr fontId="28" type="noConversion"/>
  </si>
  <si>
    <t>M0490C1250  1.5P  TD670</t>
    <phoneticPr fontId="28" type="noConversion"/>
  </si>
  <si>
    <t>M0470C1250  2.0P  TD600</t>
    <phoneticPr fontId="28" type="noConversion"/>
  </si>
  <si>
    <t>M0370C0875  1.5P  TD550</t>
    <phoneticPr fontId="28" type="noConversion"/>
  </si>
  <si>
    <t>M0360C0875  1.75P  TD500</t>
    <phoneticPr fontId="28" type="noConversion"/>
  </si>
  <si>
    <t>M0360C0875  1.0P  TD530</t>
    <phoneticPr fontId="28" type="noConversion"/>
  </si>
  <si>
    <t>M0300C0750  1.5P  TD420</t>
    <phoneticPr fontId="28" type="noConversion"/>
  </si>
  <si>
    <t>M0235C0625  1.25P  TD360</t>
    <phoneticPr fontId="28" type="noConversion"/>
  </si>
  <si>
    <t>M0235C0625  0.75P  TD380</t>
    <phoneticPr fontId="28" type="noConversion"/>
  </si>
  <si>
    <t>M0170C0500  1.0P  TD310</t>
    <phoneticPr fontId="28" type="noConversion"/>
  </si>
  <si>
    <t>M0120C0312  0.8P  TD280</t>
    <phoneticPr fontId="28" type="noConversion"/>
  </si>
  <si>
    <t>M0120C0250  0.75P  TD260</t>
    <phoneticPr fontId="28" type="noConversion"/>
  </si>
  <si>
    <t>M0115C0276  0.7P  TD240</t>
    <phoneticPr fontId="28" type="noConversion"/>
  </si>
  <si>
    <t>M0085C0178  0.5P  TD200</t>
    <phoneticPr fontId="28" type="noConversion"/>
  </si>
  <si>
    <t>UN0745C1500  12TPI  TE800</t>
    <phoneticPr fontId="28" type="noConversion"/>
  </si>
  <si>
    <t>UN0745C1572  7TPI  TE820</t>
    <phoneticPr fontId="28" type="noConversion"/>
  </si>
  <si>
    <t>UN0620C1375  9TPI  TE740</t>
    <phoneticPr fontId="28" type="noConversion"/>
  </si>
  <si>
    <t>UN0620C1375  8TPI  TE780</t>
    <phoneticPr fontId="28" type="noConversion"/>
  </si>
  <si>
    <t>UN0495C1250  12TPI  TE710</t>
    <phoneticPr fontId="28" type="noConversion"/>
  </si>
  <si>
    <t>UN0495C1250  10TPI  TE700</t>
    <phoneticPr fontId="28" type="noConversion"/>
  </si>
  <si>
    <t>UN0490C1250  16TPI  TE720</t>
    <phoneticPr fontId="28" type="noConversion"/>
  </si>
  <si>
    <t>UN0490C1250  14TPI  TE760</t>
    <phoneticPr fontId="28" type="noConversion"/>
  </si>
  <si>
    <t>UN0470C1250  11TPI  TE640</t>
    <phoneticPr fontId="28" type="noConversion"/>
  </si>
  <si>
    <t>UN0370C1000  32TPI  TEF90</t>
    <phoneticPr fontId="28" type="noConversion"/>
  </si>
  <si>
    <t>UN0370C1000  28TPI  TE590</t>
    <phoneticPr fontId="28" type="noConversion"/>
  </si>
  <si>
    <t>UN0370C1000  24TPI  TE570</t>
    <phoneticPr fontId="28" type="noConversion"/>
  </si>
  <si>
    <t>UN0370C1000  20TPI  TE580</t>
    <phoneticPr fontId="28" type="noConversion"/>
  </si>
  <si>
    <t>UN0370C0875  18TPI  TE620</t>
    <phoneticPr fontId="28" type="noConversion"/>
  </si>
  <si>
    <t>UN0370C0875  12TPI  TE600</t>
    <phoneticPr fontId="28" type="noConversion"/>
  </si>
  <si>
    <t>UN0350C0875  13TPI  TE560</t>
    <phoneticPr fontId="28" type="noConversion"/>
  </si>
  <si>
    <t>UN0335C0875  20TPI  TE540</t>
    <phoneticPr fontId="28" type="noConversion"/>
  </si>
  <si>
    <t>UN0305C0750  14TPI  TE520</t>
    <phoneticPr fontId="28" type="noConversion"/>
  </si>
  <si>
    <t>UN0285C0750  24TPI  TE500</t>
    <phoneticPr fontId="28" type="noConversion"/>
  </si>
  <si>
    <t>UN0285C0750  16TPI  TE480</t>
    <phoneticPr fontId="28" type="noConversion"/>
  </si>
  <si>
    <t>UN0235C0625  24TPI  TE460</t>
    <phoneticPr fontId="28" type="noConversion"/>
  </si>
  <si>
    <t>UN0235C0625  18TPI  TE440</t>
    <phoneticPr fontId="28" type="noConversion"/>
  </si>
  <si>
    <t>UN0180C0500  28TPI  TE420</t>
    <phoneticPr fontId="28" type="noConversion"/>
  </si>
  <si>
    <t>UN0180C0500  20TPI  TE400</t>
    <phoneticPr fontId="28" type="noConversion"/>
  </si>
  <si>
    <t>UN0120C0312  32TPI  TE340</t>
    <phoneticPr fontId="28" type="noConversion"/>
  </si>
  <si>
    <t>UN0120C0312  28TPI  TEK90</t>
    <phoneticPr fontId="28" type="noConversion"/>
  </si>
  <si>
    <t>UN0120C0312  24TPI  TE320</t>
    <phoneticPr fontId="28" type="noConversion"/>
  </si>
  <si>
    <t>UN0115C0250  36TPI  TE300</t>
    <phoneticPr fontId="28" type="noConversion"/>
  </si>
  <si>
    <t>UN0115C0250  32TPI  TE280</t>
    <phoneticPr fontId="28" type="noConversion"/>
  </si>
  <si>
    <t>UN0100C0218  32TPI  TE240</t>
    <phoneticPr fontId="28" type="noConversion"/>
  </si>
  <si>
    <t>UN0095C0228  44TPI  TE220</t>
    <phoneticPr fontId="28" type="noConversion"/>
  </si>
  <si>
    <t>UN0085C0175  40TPI  TE160</t>
    <phoneticPr fontId="28" type="noConversion"/>
  </si>
  <si>
    <t>UN0075C0167  48TPI  TE120</t>
    <phoneticPr fontId="28" type="noConversion"/>
  </si>
  <si>
    <t>UN0065C0125  56TPI  TE080</t>
    <phoneticPr fontId="28" type="noConversion"/>
  </si>
  <si>
    <t>NPT0245C0437  27NPT  TF020</t>
    <phoneticPr fontId="28" type="noConversion"/>
  </si>
  <si>
    <t>NPT0305C0625  18NPT  TF400</t>
    <phoneticPr fontId="28" type="noConversion"/>
  </si>
  <si>
    <t>NPT0363C0680  18NPT  TF480</t>
    <phoneticPr fontId="28" type="noConversion"/>
  </si>
  <si>
    <t>NPT0495C0875  14NPT  TF560</t>
    <phoneticPr fontId="28" type="noConversion"/>
  </si>
  <si>
    <t>NPT0620C1125  11.5NPT  TF780</t>
    <phoneticPr fontId="28" type="noConversion"/>
  </si>
  <si>
    <t>NPT0745C1500  8NPT  TFF40</t>
    <phoneticPr fontId="28" type="noConversion"/>
  </si>
  <si>
    <t>1.500</t>
    <phoneticPr fontId="28" type="noConversion"/>
  </si>
  <si>
    <t>NPTF0245C0437  27NPTF  TG020</t>
    <phoneticPr fontId="28" type="noConversion"/>
  </si>
  <si>
    <t>NPTF0305C0625  18NPTF  TG400</t>
    <phoneticPr fontId="28" type="noConversion"/>
  </si>
  <si>
    <t>NPTF0495C0875  14NPTF  TG560</t>
    <phoneticPr fontId="28" type="noConversion"/>
  </si>
  <si>
    <t>NPTF0620C1125  11.5NPTF  TG780</t>
    <phoneticPr fontId="28" type="noConversion"/>
  </si>
  <si>
    <t>NPTF0745C1500  8NPTF  TGF40</t>
    <phoneticPr fontId="28" type="noConversion"/>
  </si>
  <si>
    <t>Fz(0.3125&lt;8)</t>
    <phoneticPr fontId="4"/>
  </si>
  <si>
    <t>Fz(0.3125&gt;8)</t>
    <phoneticPr fontId="4"/>
  </si>
  <si>
    <t xml:space="preserve"> S</t>
    <phoneticPr fontId="4"/>
  </si>
  <si>
    <t>Programming of Thread Milling</t>
    <phoneticPr fontId="4"/>
  </si>
  <si>
    <t xml:space="preserve">오른쪽에서 가장 알맞은 언어를 선택한 다음 첫번째 네개의 사각형 칸을 채우십시오. 충분한 정보로 부터 정리된 프로그램은, 추천될 만한 밀링 공구의 영역을 제공할 것입니다. 당신이 공구 하나를 선택할 경우, 추천 절삭조건과 나사를 가공하는 시간을 포함한 공구에 대한 정보를 보여줄 것입니다. 완성된 CNC 프로그램도 볼 수 있을 것입니다. CNC 프로그램은 복사되어 당신의 CNC 파일 안에 붙여넣을 수 있습니다. 나머지 일곱개의 사각형 칸은 당신이 추천값을 승인하지 않을 경우에만 완성될 것입니다. </t>
    <phoneticPr fontId="4"/>
  </si>
  <si>
    <t xml:space="preserve">YG-1의 쓰레드 밀에서 피치 직경은 광학적으로 측정되었고, 이론상의 외부 직경은 각각의 공구에 레이져 마킹 되어 있습니다.                                                                       이 측정값은 공구 직경 옆의 사각형 칸에 기록되어야 한다.                                         당신은 아마도 올바른 나사를 바로 얻을 것입니다.                                                         조정할 필요가 있을 경우, 같은 사각형 칸에서 또는 콘트롤 시스템의 툴링 라이브러리에서 수정 할 수 있습니다. </t>
    <phoneticPr fontId="4"/>
  </si>
  <si>
    <t xml:space="preserve">오른쪽에서 가장 알맞은 언어를 선택한 다음 첫번째 네개의 사각형 칸을 채우십시오. 충분한 정보로 부터 정리된 프로그램은, 추천될 만한 밀링 공구의 영역을 제공할 것입니다. 당신이 공구 하나를 선택할 경우, 추천 절삭조건과 나사를 가공하는 시간을 포함한 공구에 대한 정보를 보여줄 것입니다. 완성된 CNC 프로그램을 볼 수 있을 것입니다. CNC 프로그램은 복사되어 당신의 CNC 파일 안에 붙여넣을 수 있습니다. 나머지 여섯개의 사각형 칸은 당신이 추천값을 승인하지 않을 경우에만 완성될 것입니다. </t>
    <phoneticPr fontId="4"/>
  </si>
  <si>
    <t>Choose a language furthest down on the right side and make your choices in the drop downs and fill in the first four squares. By filling in sufficient information the program will present a recommended range of milling cutters. When you have chosen one of the cutters, information will be shown about the cutter including recommended cutting data and the time to produce the thread. The complete CNC program will also be shown. The CNC program can be copied and pasted into your CNC file. The other six squares shall only be completed if you do not accept the recommended.</t>
    <phoneticPr fontId="4"/>
  </si>
  <si>
    <t>MF18140C24.65 1.5P CH L4272610</t>
  </si>
  <si>
    <t>MF16120C21.65 1.5P CH L4272550</t>
  </si>
  <si>
    <t>MF14100C18.65 1.5P CH L4272510</t>
  </si>
  <si>
    <t>MF14103C18.3 1.25P CH L4272520</t>
  </si>
  <si>
    <t>MF14107C18.4 1.0P CH L4272530</t>
  </si>
  <si>
    <t>MF12083C15.9 1.0P CH L4272430</t>
  </si>
  <si>
    <t>MF12087C15.4 1.0P CH L4272440</t>
  </si>
  <si>
    <t>MF10067C12.4 1.0P CH L4272370</t>
  </si>
  <si>
    <t>M18136C32.85 2.0P CH L4271600</t>
  </si>
  <si>
    <t>M16116C28.85 2.0P CH L4271540</t>
  </si>
  <si>
    <t>M14099C25.25 1.75P CH L4271500</t>
  </si>
  <si>
    <t>M12082C20.15 1.5P CH L4271420</t>
  </si>
  <si>
    <t>M10065C16.8 1.25P CH L4271360</t>
  </si>
  <si>
    <t>M08048C12.4 1.0P CH L4271310</t>
  </si>
  <si>
    <t>MF16160C32.0 2.0P H L4212710</t>
  </si>
  <si>
    <t>MF16160C31.5 1.5P H L4212720</t>
  </si>
  <si>
    <t>MF16160C31.0 1.0P H L4212730</t>
  </si>
  <si>
    <t>MF14140C28.5 1.5P H L4212670</t>
  </si>
  <si>
    <t>MF14140C28.0 1.0P H L4212680</t>
  </si>
  <si>
    <t>MF12120C25.5 1.5P H L4212610</t>
  </si>
  <si>
    <t>MF12120C25.0 1.0P H L4212620</t>
  </si>
  <si>
    <t>MF10100C22.5 1.5P H L4212550</t>
  </si>
  <si>
    <t>MF10100C22.0 1.0P H L4212570</t>
  </si>
  <si>
    <t>MF10095C19.5 1.5P H L4212510</t>
  </si>
  <si>
    <t>MF10095C18.75 1.25P H L4212520</t>
  </si>
  <si>
    <t>MF10095C19.0 1.0P H L4212530</t>
  </si>
  <si>
    <t>MF08080C16.0 1.0P H L4212440</t>
  </si>
  <si>
    <t>MF06060C13.0 1.0P H L4212370</t>
  </si>
  <si>
    <t>MF06060C12.75 0.75P H L4212380</t>
  </si>
  <si>
    <t>M16160C42.5 2.5P H L4211700</t>
  </si>
  <si>
    <t>M14140C37.5 2.5P H L4211650</t>
  </si>
  <si>
    <t>M12120C34.0 2.0P H L4211600</t>
  </si>
  <si>
    <t>M10100C30.0 2.0P H L4211540</t>
  </si>
  <si>
    <t>M10095C26.25 1.75P H L4211500</t>
  </si>
  <si>
    <t>M08075C21.0 1.5P H L4211420</t>
  </si>
  <si>
    <t>M06060C17.5 1.25P H L4211360</t>
  </si>
  <si>
    <t>M06045C13.0 1.0P H L4211310</t>
  </si>
  <si>
    <t>M16160C52.5 2.5P L111H700</t>
  </si>
  <si>
    <t>M14140C47.5 2.5P L111H650</t>
  </si>
  <si>
    <t>M12120C42.0 2.0P L111H600</t>
  </si>
  <si>
    <t>M10100C38.0 2.0P L111H540</t>
  </si>
  <si>
    <t>M10095C31.5 1.75P L111H500</t>
  </si>
  <si>
    <t>M08075C27.0 1.5P L111H420</t>
  </si>
  <si>
    <t>M06060C21.25 1.25P L111H360</t>
  </si>
  <si>
    <t>M06045C16.0 1.0P L111H310</t>
  </si>
  <si>
    <t>MF16160C32.0 2.0P L1212710</t>
  </si>
  <si>
    <t>MF16160C31.5 1.5P L1212720</t>
  </si>
  <si>
    <t>MF16160C31.0 1.0P L1212730</t>
  </si>
  <si>
    <t>MF14140C28.5 1.5P L1212670</t>
  </si>
  <si>
    <t>MF14140C28.0 1.0P L1212680</t>
  </si>
  <si>
    <t>MF12120C25.5 1.5P L1212610</t>
  </si>
  <si>
    <t>MF12120C25.0 1.0P L1212620</t>
  </si>
  <si>
    <t>MF10100C22.5 1.5P L1212550</t>
  </si>
  <si>
    <t>MF10100C22.0 1.0P L1212570</t>
  </si>
  <si>
    <t>MF10095C19.5 1.5P L1212510</t>
  </si>
  <si>
    <t>MF10095C18.75 1.25P L1212520</t>
  </si>
  <si>
    <t>MF10095C19.0 1.0P L1212530</t>
  </si>
  <si>
    <t>MF08080C16.0 1.0P L1212440</t>
  </si>
  <si>
    <t>MF06060C13.0 1.0P L1212370</t>
  </si>
  <si>
    <t>MF06060C12.75 0.75P L1212380</t>
  </si>
  <si>
    <t>M16160C42.5 2.5P L1211700</t>
  </si>
  <si>
    <t>M14140C37.5 2.5P L1211650</t>
  </si>
  <si>
    <t>M12120C34.0 2.0P L1211600</t>
  </si>
  <si>
    <t>M10100C30.0 2.0P L1211540</t>
  </si>
  <si>
    <t>M10095C26.25 1.75P L1211500</t>
  </si>
  <si>
    <t>M08075C21.0 1.5P L1211420</t>
  </si>
  <si>
    <t>M06060C17.5 1.25P L1211360</t>
  </si>
  <si>
    <t>M06045C13.0 1.0P L1211310</t>
  </si>
  <si>
    <t>M06038C8.0 0.8P L1211280</t>
  </si>
  <si>
    <t>M06029C7.0 0.7P L1211240</t>
  </si>
  <si>
    <t>M06022C5.0 0.5P L1211200</t>
  </si>
  <si>
    <t>NC20160C39.29 10TPI  CH  L4273700</t>
  </si>
  <si>
    <t>NF20170C38.86 16TPI  CH  L4274720</t>
  </si>
  <si>
    <t>NC18131C33.41 11TPI  CH  L4273640</t>
  </si>
  <si>
    <t>NF16124C28.88 18TPI  CH  L4274620</t>
  </si>
  <si>
    <t>NF18140C33.12 18TPI  CH  L4274660</t>
  </si>
  <si>
    <t>NC16117C30.63 12TPI  CH  L4273600</t>
  </si>
  <si>
    <t>NF14110C26.0 20TPI  CH  L4274580</t>
  </si>
  <si>
    <t>NC14103C26.32 13TPI  CH  L4273560</t>
  </si>
  <si>
    <t>NC12089C22.62 14TPI  CH  L4273520</t>
  </si>
  <si>
    <t>NF12081C19.54 24TPI  CH  L4274500</t>
  </si>
  <si>
    <t>NF12094C22.19 20TPI  CH  L4274540</t>
  </si>
  <si>
    <t>NC12076C19.8 16TPI  CH  L4273480</t>
  </si>
  <si>
    <t>NF10065C16.37 24TPI  CH  L4274460</t>
  </si>
  <si>
    <t>NC10062C16.18 18TPI  CH  L4273440</t>
  </si>
  <si>
    <t>NF08051C13.21 28TPI  CH  L4274420</t>
  </si>
  <si>
    <t>NC08048C13.3 20TPI  CH  L4273400</t>
  </si>
  <si>
    <t>NC14140C40.6 10TPI L1213700</t>
  </si>
  <si>
    <t>NF14140C39.7 16TPI L1214720</t>
  </si>
  <si>
    <t>NC12120C34.6 11TPI L1213640</t>
  </si>
  <si>
    <t>NF12120C29.6 18TPI L1214620</t>
  </si>
  <si>
    <t>NF12120C33.9 18TPI L1214660</t>
  </si>
  <si>
    <t>NC10100C31.8 12TPI L1213600</t>
  </si>
  <si>
    <t>NF10100C26.7 20TPI L1214580</t>
  </si>
  <si>
    <t>NC10095C27.4 13TPI L1213560</t>
  </si>
  <si>
    <t>NC08080C23.6 14TPI L1213520</t>
  </si>
  <si>
    <t>NF08080C20.1 24TPI L1214500</t>
  </si>
  <si>
    <t>NF08080C24.1 20TPI L1214540</t>
  </si>
  <si>
    <t>NC08070C20.6 16TPI L1213480</t>
  </si>
  <si>
    <t>NF06060C16.9 24TPI L1214460</t>
  </si>
  <si>
    <t>NC06058C16.9 18TPI L1213440</t>
  </si>
  <si>
    <t>NF06050C13.6 28TPI L1214420</t>
  </si>
  <si>
    <t>NC06045C14.0 20TPI L1213400</t>
  </si>
  <si>
    <t>NPT10059C8.9 27TPI  CH  L4276020</t>
  </si>
  <si>
    <t>NPT12078C8.9 27TPI  CH  L4276200</t>
  </si>
  <si>
    <t>NPT161005C13.4 18TPI  CH  L4276400</t>
  </si>
  <si>
    <t>NPT1813.45C13.4 18TPI  CH  L4276480</t>
  </si>
  <si>
    <t>G20199C34.6 11TPI L3215780</t>
  </si>
  <si>
    <t>G16159C34.6 11TPI L3215781</t>
  </si>
  <si>
    <t>G18179C34.5 14TPI L3215700</t>
  </si>
  <si>
    <t>G16159C43.5 14TPI L3215560</t>
  </si>
  <si>
    <t>G14139C33.4 19TPI L3215480</t>
  </si>
  <si>
    <t>G10099C26.7 19TPI L3215400</t>
  </si>
  <si>
    <t>G08079C20.0 28TPI L3215200</t>
  </si>
  <si>
    <t>G06059C16.3 28TPI L3215020</t>
  </si>
  <si>
    <t>G20199C34.6 11TPI H L6215780</t>
  </si>
  <si>
    <t>G18179C34.5 14TPI H L6215700</t>
  </si>
  <si>
    <t>G16159C43.5 14TPI H L6215560</t>
  </si>
  <si>
    <t>G14139C33.4 19TPI H L6215480</t>
  </si>
  <si>
    <t>G10099C26.7 19TPI H L6215400</t>
  </si>
  <si>
    <t>G08079C20.0 28TPI H L6215200</t>
  </si>
  <si>
    <t>G06059C16.3 28TPI H L6215020</t>
  </si>
  <si>
    <t>M141120C29.58 2.0P DTC L42A1540</t>
  </si>
  <si>
    <t>M120995C24.21 1.75P DTC L42A1500</t>
  </si>
  <si>
    <t>M100795C21.05 1.5P DTC L42A1420</t>
  </si>
  <si>
    <t>M080635C16.27 1.25P DTC L42A1360</t>
  </si>
  <si>
    <t>M060475C13.00 1.0P DTC L42A1310</t>
  </si>
  <si>
    <t>M100990C5.25 1.75P MINI L12D1500</t>
  </si>
  <si>
    <t>M100820C4.5 1.5P MINI L12D1420</t>
  </si>
  <si>
    <t>M080650C3.75 1.25P MINI L12D1360</t>
  </si>
  <si>
    <t>M060480C3.0 1.0P MINI L12D1310</t>
  </si>
  <si>
    <t>M060404C2.4 0.8P MINI L12D1280</t>
  </si>
  <si>
    <t>M060316C2.1 0.7P MINI L12D1240</t>
  </si>
  <si>
    <t>M060240C1.5 0.5P MINI L12D1200</t>
  </si>
  <si>
    <t>M060196C1.35 0.45P MINI L12D1170</t>
  </si>
  <si>
    <t>M060166C1.35 0.45P MINI L12D1150</t>
  </si>
  <si>
    <t>M060152C1.2 0.4P MINI L12D1130</t>
  </si>
  <si>
    <t>M030118C1.05 0.35P MINI L12D1090</t>
  </si>
  <si>
    <t>M030104C0.9 0.3P MINI L12D1070</t>
  </si>
  <si>
    <t>M030090C0.75 0.25P MINI L12D1050</t>
  </si>
  <si>
    <t>M030070C0.75 0.25P MINI L12D1010</t>
  </si>
  <si>
    <t>NC100894C5.44 14TPI MINI L12D3520</t>
  </si>
  <si>
    <t>NC080762C4.76 16TPI MINI L12D3480</t>
  </si>
  <si>
    <t>NC080624C4.23 18TPI MINI L12D3440</t>
  </si>
  <si>
    <t>NC060483C3.81 20TPI MINI L12D3400</t>
  </si>
  <si>
    <t>NC060422C3.18 24TPI MINI L12D3360</t>
  </si>
  <si>
    <t>NC060356C3.81 24TPI MINI L12D3320</t>
  </si>
  <si>
    <t>NC060321C2.38 32TPI MINI L12D3280</t>
  </si>
  <si>
    <t>NC060255C2.38 32TPI MINI L12D3240</t>
  </si>
  <si>
    <t>NC060208C1.91 40TPI MINI L12D3160</t>
  </si>
  <si>
    <t>NC060164C1.36 56TPI MINI L12D3080</t>
  </si>
  <si>
    <t>NC060138C1.19 64TPI MINI L12D3040</t>
  </si>
  <si>
    <t>M100990C3.5 1.75P MHD L19E1500</t>
  </si>
  <si>
    <t>M100820C3.0 1.5P MHD L19E1420</t>
  </si>
  <si>
    <t>M080650C2.5 1.25P MHD L19E1360</t>
  </si>
  <si>
    <t>M060480C2.0 1.0P MHD L19E1310</t>
  </si>
  <si>
    <t>M060404C1.6 0.8P MHD L19E1280</t>
  </si>
  <si>
    <t>M060316C1.4 0.7P MHD L19E1240</t>
  </si>
  <si>
    <t>M060240C1.0 0.5P MHD L19E1200</t>
  </si>
  <si>
    <t>M060196C0.9 0.45P MHD L19E1170</t>
  </si>
  <si>
    <t>M060166C0.9 0.45P MHD L19E1150</t>
  </si>
  <si>
    <t>M060152C0.8 0.4P MHD L19E1130</t>
  </si>
  <si>
    <t>NC100894C3.63 14TPI MHD L19E3520</t>
  </si>
  <si>
    <t>NC080762C3.18 16TPI MHD L19E3480</t>
  </si>
  <si>
    <t>NC080624C2.82 18TPI MHD L19E3440</t>
  </si>
  <si>
    <t>NC060483C2.54 20TPI MHD L19E3400</t>
  </si>
  <si>
    <t>NC060422C2.12 24TPI MHD L19E3360</t>
  </si>
  <si>
    <t>NC060356C2.12 24TPI MHD L19E3320</t>
  </si>
  <si>
    <t>NC060321C1.59 32TPI MHD L19E3280</t>
  </si>
  <si>
    <t>NC060255C1.59 32TPI MHD L19E3240</t>
  </si>
  <si>
    <t>NC060208C1.27 40TPI MHD L19E3160</t>
  </si>
  <si>
    <t>NC060164C0.91 56TPI MHD L19E3080</t>
  </si>
  <si>
    <t>O.D. Taper(1:16)</t>
    <phoneticPr fontId="4"/>
  </si>
  <si>
    <r>
      <t>3</t>
    </r>
    <r>
      <rPr>
        <b/>
        <sz val="9"/>
        <rFont val="돋움"/>
        <family val="3"/>
        <charset val="129"/>
      </rPr>
      <t>산제품</t>
    </r>
    <phoneticPr fontId="4"/>
  </si>
  <si>
    <r>
      <t>3,2,1</t>
    </r>
    <r>
      <rPr>
        <sz val="10"/>
        <rFont val="돋움"/>
        <family val="3"/>
        <charset val="129"/>
      </rPr>
      <t>산제품일때 축방향 PASS</t>
    </r>
    <phoneticPr fontId="4"/>
  </si>
  <si>
    <t>3산제품 축방향반복</t>
    <phoneticPr fontId="4"/>
  </si>
  <si>
    <r>
      <t>(3, 2, 1</t>
    </r>
    <r>
      <rPr>
        <sz val="10"/>
        <color indexed="10"/>
        <rFont val="돋움"/>
        <family val="3"/>
        <charset val="129"/>
      </rPr>
      <t>산제품</t>
    </r>
    <r>
      <rPr>
        <sz val="10"/>
        <color indexed="10"/>
        <rFont val="Verdana"/>
        <family val="2"/>
      </rPr>
      <t>)</t>
    </r>
    <phoneticPr fontId="4"/>
  </si>
  <si>
    <r>
      <t>&lt;=</t>
    </r>
    <r>
      <rPr>
        <sz val="10"/>
        <rFont val="돋움"/>
        <family val="3"/>
        <charset val="129"/>
      </rPr>
      <t>기존</t>
    </r>
    <r>
      <rPr>
        <sz val="10"/>
        <rFont val="Verdana"/>
        <family val="2"/>
      </rPr>
      <t>(BP48*0.33)*BF26</t>
    </r>
    <phoneticPr fontId="4"/>
  </si>
  <si>
    <r>
      <t>1021, 2 pass Fanuc 3</t>
    </r>
    <r>
      <rPr>
        <b/>
        <u/>
        <sz val="10"/>
        <rFont val="돋움"/>
        <family val="3"/>
        <charset val="129"/>
      </rPr>
      <t>산제품</t>
    </r>
    <phoneticPr fontId="4"/>
  </si>
  <si>
    <t xml:space="preserve"> M4</t>
    <phoneticPr fontId="4"/>
  </si>
  <si>
    <t>G02</t>
    <phoneticPr fontId="4"/>
  </si>
  <si>
    <t xml:space="preserve"> G49</t>
    <phoneticPr fontId="4"/>
  </si>
  <si>
    <t>G90</t>
    <phoneticPr fontId="4"/>
  </si>
  <si>
    <t xml:space="preserve"> G00</t>
    <phoneticPr fontId="4"/>
  </si>
  <si>
    <t>G90</t>
    <phoneticPr fontId="4"/>
  </si>
  <si>
    <t>G91</t>
    <phoneticPr fontId="4"/>
  </si>
  <si>
    <t xml:space="preserve"> D10</t>
    <phoneticPr fontId="4"/>
  </si>
  <si>
    <t xml:space="preserve"> G42</t>
    <phoneticPr fontId="4"/>
  </si>
  <si>
    <t xml:space="preserve"> D10</t>
    <phoneticPr fontId="4"/>
  </si>
  <si>
    <r>
      <t>3111, 1 pass Fanuc 2</t>
    </r>
    <r>
      <rPr>
        <b/>
        <u/>
        <sz val="10"/>
        <rFont val="돋움"/>
        <family val="3"/>
        <charset val="129"/>
      </rPr>
      <t>산제품</t>
    </r>
    <r>
      <rPr>
        <b/>
        <u/>
        <sz val="10"/>
        <rFont val="Verdana"/>
        <family val="2"/>
      </rPr>
      <t>(LEFT CUT)</t>
    </r>
    <phoneticPr fontId="4"/>
  </si>
  <si>
    <r>
      <t>3121, 2 pass Fanuc 2</t>
    </r>
    <r>
      <rPr>
        <b/>
        <u/>
        <sz val="10"/>
        <rFont val="돋움"/>
        <family val="3"/>
        <charset val="129"/>
      </rPr>
      <t>산제품</t>
    </r>
    <r>
      <rPr>
        <b/>
        <u/>
        <sz val="10"/>
        <rFont val="Verdana"/>
        <family val="2"/>
      </rPr>
      <t>(LEFT CUT)</t>
    </r>
    <phoneticPr fontId="4"/>
  </si>
  <si>
    <t>内径ねじ切り（マシニングセンタ）</t>
    <phoneticPr fontId="4"/>
  </si>
  <si>
    <r>
      <t>使用</t>
    </r>
    <r>
      <rPr>
        <sz val="9"/>
        <rFont val="Verdana"/>
        <family val="2"/>
      </rPr>
      <t xml:space="preserve"> CNC </t>
    </r>
    <r>
      <rPr>
        <sz val="9"/>
        <rFont val="細明體"/>
        <family val="3"/>
      </rPr>
      <t>銑床銑內牙</t>
    </r>
    <phoneticPr fontId="4"/>
  </si>
  <si>
    <t>采用加工中心铣削内螺纹</t>
    <phoneticPr fontId="4"/>
  </si>
  <si>
    <t>内径ねじ切り（旋盤）</t>
    <phoneticPr fontId="4"/>
  </si>
  <si>
    <t>使用車床銑內牙</t>
    <phoneticPr fontId="4"/>
  </si>
  <si>
    <t>采用车削中心铣削内螺纹</t>
    <phoneticPr fontId="4"/>
  </si>
  <si>
    <t>ファナック</t>
    <phoneticPr fontId="4"/>
  </si>
  <si>
    <r>
      <t>发那科</t>
    </r>
    <r>
      <rPr>
        <sz val="10"/>
        <rFont val="Arial"/>
        <family val="2"/>
      </rPr>
      <t xml:space="preserve"> (</t>
    </r>
    <r>
      <rPr>
        <sz val="10"/>
        <rFont val="宋体"/>
        <charset val="129"/>
      </rPr>
      <t>日本数控系统</t>
    </r>
    <r>
      <rPr>
        <sz val="10"/>
        <rFont val="Arial"/>
        <family val="2"/>
      </rPr>
      <t>)</t>
    </r>
    <phoneticPr fontId="4"/>
  </si>
  <si>
    <t>ハイデンハイン</t>
    <phoneticPr fontId="4"/>
  </si>
  <si>
    <r>
      <t>海德汉</t>
    </r>
    <r>
      <rPr>
        <sz val="10"/>
        <rFont val="Arial"/>
        <family val="2"/>
      </rPr>
      <t xml:space="preserve"> (</t>
    </r>
    <r>
      <rPr>
        <sz val="10"/>
        <rFont val="宋体"/>
        <charset val="129"/>
      </rPr>
      <t>德国数控系统</t>
    </r>
    <r>
      <rPr>
        <sz val="10"/>
        <rFont val="Arial"/>
        <family val="2"/>
      </rPr>
      <t>)</t>
    </r>
    <phoneticPr fontId="4"/>
  </si>
  <si>
    <t>シーメンス</t>
    <phoneticPr fontId="4"/>
  </si>
  <si>
    <r>
      <t>西门子</t>
    </r>
    <r>
      <rPr>
        <sz val="10"/>
        <rFont val="Arial"/>
        <family val="2"/>
      </rPr>
      <t xml:space="preserve"> (</t>
    </r>
    <r>
      <rPr>
        <sz val="10"/>
        <rFont val="宋体"/>
        <charset val="129"/>
      </rPr>
      <t>德国数控系统</t>
    </r>
    <r>
      <rPr>
        <sz val="10"/>
        <rFont val="Arial"/>
        <family val="2"/>
      </rPr>
      <t>)</t>
    </r>
    <phoneticPr fontId="4"/>
  </si>
  <si>
    <r>
      <t>NUM (</t>
    </r>
    <r>
      <rPr>
        <sz val="10"/>
        <rFont val="宋体"/>
        <charset val="129"/>
      </rPr>
      <t>法国数控系统</t>
    </r>
    <r>
      <rPr>
        <sz val="10"/>
        <rFont val="Arial"/>
        <family val="2"/>
      </rPr>
      <t xml:space="preserve">, </t>
    </r>
    <r>
      <rPr>
        <sz val="10"/>
        <rFont val="宋体"/>
        <charset val="129"/>
      </rPr>
      <t>施耐德电气的子公司</t>
    </r>
    <r>
      <rPr>
        <sz val="10"/>
        <rFont val="Arial"/>
        <family val="2"/>
      </rPr>
      <t>)</t>
    </r>
    <phoneticPr fontId="4"/>
  </si>
  <si>
    <r>
      <t>发格</t>
    </r>
    <r>
      <rPr>
        <sz val="10"/>
        <rFont val="Arial"/>
        <family val="2"/>
      </rPr>
      <t xml:space="preserve"> (</t>
    </r>
    <r>
      <rPr>
        <sz val="10"/>
        <rFont val="宋体"/>
        <charset val="129"/>
      </rPr>
      <t>西班牙数控系统</t>
    </r>
    <r>
      <rPr>
        <sz val="10"/>
        <rFont val="Arial"/>
        <family val="2"/>
      </rPr>
      <t>)</t>
    </r>
    <phoneticPr fontId="4"/>
  </si>
  <si>
    <t>マザック</t>
    <phoneticPr fontId="4"/>
  </si>
  <si>
    <r>
      <t>马扎克</t>
    </r>
    <r>
      <rPr>
        <sz val="10"/>
        <rFont val="Arial"/>
        <family val="2"/>
      </rPr>
      <t xml:space="preserve"> (</t>
    </r>
    <r>
      <rPr>
        <sz val="10"/>
        <rFont val="宋体"/>
        <charset val="129"/>
      </rPr>
      <t>日本数控系统</t>
    </r>
    <r>
      <rPr>
        <sz val="10"/>
        <rFont val="Arial"/>
        <family val="2"/>
      </rPr>
      <t>)</t>
    </r>
    <phoneticPr fontId="4"/>
  </si>
  <si>
    <t>三菱</t>
    <phoneticPr fontId="4"/>
  </si>
  <si>
    <r>
      <t>三菱</t>
    </r>
    <r>
      <rPr>
        <sz val="10"/>
        <rFont val="Arial"/>
        <family val="2"/>
      </rPr>
      <t xml:space="preserve"> (</t>
    </r>
    <r>
      <rPr>
        <sz val="10"/>
        <rFont val="宋体"/>
        <charset val="129"/>
      </rPr>
      <t>日本数控系统</t>
    </r>
    <r>
      <rPr>
        <sz val="10"/>
        <rFont val="Arial"/>
        <family val="2"/>
      </rPr>
      <t>)</t>
    </r>
    <phoneticPr fontId="4"/>
  </si>
  <si>
    <t>メートルねじ</t>
    <phoneticPr fontId="4"/>
  </si>
  <si>
    <r>
      <t>公制牙</t>
    </r>
    <r>
      <rPr>
        <sz val="9"/>
        <rFont val="Verdana"/>
        <family val="2"/>
      </rPr>
      <t>-M</t>
    </r>
    <phoneticPr fontId="4"/>
  </si>
  <si>
    <r>
      <t xml:space="preserve">M - </t>
    </r>
    <r>
      <rPr>
        <sz val="10"/>
        <rFont val="宋体"/>
        <charset val="129"/>
      </rPr>
      <t>公制螺纹</t>
    </r>
    <phoneticPr fontId="4"/>
  </si>
  <si>
    <t>ユニファイねじ</t>
    <phoneticPr fontId="4"/>
  </si>
  <si>
    <r>
      <t>美制牙</t>
    </r>
    <r>
      <rPr>
        <sz val="9"/>
        <rFont val="Verdana"/>
        <family val="2"/>
      </rPr>
      <t>-UN</t>
    </r>
    <phoneticPr fontId="4"/>
  </si>
  <si>
    <r>
      <t xml:space="preserve">UN - </t>
    </r>
    <r>
      <rPr>
        <sz val="10"/>
        <rFont val="宋体"/>
        <charset val="129"/>
      </rPr>
      <t>美制统一螺纹</t>
    </r>
    <phoneticPr fontId="4"/>
  </si>
  <si>
    <t>ナショナル管用テーパねじ（ＮＰＴ）</t>
    <phoneticPr fontId="4"/>
  </si>
  <si>
    <r>
      <t>美制斜管牙</t>
    </r>
    <r>
      <rPr>
        <sz val="9"/>
        <rFont val="Verdana"/>
        <family val="2"/>
      </rPr>
      <t>-NPT</t>
    </r>
    <phoneticPr fontId="4"/>
  </si>
  <si>
    <r>
      <t xml:space="preserve">NPT - </t>
    </r>
    <r>
      <rPr>
        <sz val="10"/>
        <rFont val="돋움"/>
        <family val="3"/>
        <charset val="129"/>
      </rPr>
      <t>美制锥管螺纹</t>
    </r>
    <phoneticPr fontId="4"/>
  </si>
  <si>
    <t>ウィットワースねじ</t>
    <phoneticPr fontId="4"/>
  </si>
  <si>
    <r>
      <t>英制直管牙</t>
    </r>
    <r>
      <rPr>
        <sz val="9"/>
        <rFont val="Verdana"/>
        <family val="2"/>
      </rPr>
      <t>-G</t>
    </r>
    <phoneticPr fontId="4"/>
  </si>
  <si>
    <r>
      <t xml:space="preserve">G - </t>
    </r>
    <r>
      <rPr>
        <sz val="10"/>
        <rFont val="돋움"/>
        <family val="3"/>
        <charset val="129"/>
      </rPr>
      <t>惠氏管螺纹</t>
    </r>
    <phoneticPr fontId="4"/>
  </si>
  <si>
    <t>管用テーパねじ（ＢＳＰＴ）</t>
    <phoneticPr fontId="4"/>
  </si>
  <si>
    <r>
      <t>英制斜管牙</t>
    </r>
    <r>
      <rPr>
        <sz val="9"/>
        <rFont val="Verdana"/>
        <family val="2"/>
      </rPr>
      <t>-BSPT</t>
    </r>
    <phoneticPr fontId="4"/>
  </si>
  <si>
    <r>
      <t xml:space="preserve">BSPT - </t>
    </r>
    <r>
      <rPr>
        <sz val="10"/>
        <rFont val="돋움"/>
        <family val="3"/>
        <charset val="129"/>
      </rPr>
      <t>英制锥管螺纹</t>
    </r>
    <phoneticPr fontId="4"/>
  </si>
  <si>
    <t>ＮＰＴＦドライシールねじ</t>
    <phoneticPr fontId="4"/>
  </si>
  <si>
    <r>
      <t>美制斜管牙</t>
    </r>
    <r>
      <rPr>
        <sz val="9"/>
        <rFont val="Verdana"/>
        <family val="2"/>
      </rPr>
      <t>-NPTF</t>
    </r>
    <phoneticPr fontId="4"/>
  </si>
  <si>
    <r>
      <t xml:space="preserve">NPTF - </t>
    </r>
    <r>
      <rPr>
        <sz val="10"/>
        <rFont val="宋体"/>
        <charset val="129"/>
      </rPr>
      <t>干封美制锥管螺纹</t>
    </r>
    <phoneticPr fontId="4"/>
  </si>
  <si>
    <t>ＮＰＳＦ管用ねじ</t>
    <phoneticPr fontId="4"/>
  </si>
  <si>
    <r>
      <t>美制斜管牙</t>
    </r>
    <r>
      <rPr>
        <sz val="9"/>
        <rFont val="Verdana"/>
        <family val="2"/>
      </rPr>
      <t>-NPSF</t>
    </r>
    <phoneticPr fontId="4"/>
  </si>
  <si>
    <r>
      <t xml:space="preserve">NPSF - </t>
    </r>
    <r>
      <rPr>
        <sz val="10"/>
        <rFont val="宋体"/>
        <charset val="129"/>
      </rPr>
      <t>干封美制燃料管用内直螺纹</t>
    </r>
    <phoneticPr fontId="4"/>
  </si>
  <si>
    <t>ＰＧねじ</t>
    <phoneticPr fontId="4"/>
  </si>
  <si>
    <r>
      <t>鋼管牙</t>
    </r>
    <r>
      <rPr>
        <sz val="9"/>
        <rFont val="Verdana"/>
        <family val="2"/>
      </rPr>
      <t>-PG</t>
    </r>
    <phoneticPr fontId="4"/>
  </si>
  <si>
    <r>
      <t xml:space="preserve">PG - DIN40430 </t>
    </r>
    <r>
      <rPr>
        <sz val="10"/>
        <rFont val="宋体"/>
        <charset val="129"/>
      </rPr>
      <t>钢管螺纹</t>
    </r>
    <phoneticPr fontId="4"/>
  </si>
  <si>
    <t>低炭素鋼, &lt; 0,25% C, &lt; 400 N/mm2</t>
    <phoneticPr fontId="4"/>
  </si>
  <si>
    <r>
      <t>低碳鋼</t>
    </r>
    <r>
      <rPr>
        <sz val="9"/>
        <rFont val="Verdana"/>
        <family val="2"/>
      </rPr>
      <t xml:space="preserve">, &lt; 0,25% </t>
    </r>
    <r>
      <rPr>
        <sz val="9"/>
        <rFont val="細明體"/>
        <family val="3"/>
      </rPr>
      <t>碳</t>
    </r>
    <r>
      <rPr>
        <sz val="9"/>
        <rFont val="Verdana"/>
        <family val="2"/>
      </rPr>
      <t>, &lt; 400 N/mm2</t>
    </r>
    <phoneticPr fontId="4"/>
  </si>
  <si>
    <r>
      <t>低碳钢</t>
    </r>
    <r>
      <rPr>
        <sz val="10"/>
        <rFont val="Arial"/>
        <family val="2"/>
      </rPr>
      <t>, &lt; 0,25% C, &lt; 400 N/mm2</t>
    </r>
    <phoneticPr fontId="4"/>
  </si>
  <si>
    <t>中炭素鋼、 &lt; 0,55% C, &lt; 700 N/mm2</t>
    <phoneticPr fontId="4"/>
  </si>
  <si>
    <r>
      <t>中碳鋼</t>
    </r>
    <r>
      <rPr>
        <sz val="9"/>
        <rFont val="Verdana"/>
        <family val="2"/>
      </rPr>
      <t xml:space="preserve">, &lt; 0,55% </t>
    </r>
    <r>
      <rPr>
        <sz val="9"/>
        <rFont val="細明體"/>
        <family val="3"/>
      </rPr>
      <t>碳</t>
    </r>
    <r>
      <rPr>
        <sz val="9"/>
        <rFont val="Verdana"/>
        <family val="2"/>
      </rPr>
      <t>, &lt; 700 N/mm2</t>
    </r>
    <phoneticPr fontId="4"/>
  </si>
  <si>
    <r>
      <t>中碳钢</t>
    </r>
    <r>
      <rPr>
        <sz val="10"/>
        <rFont val="Arial"/>
        <family val="2"/>
      </rPr>
      <t>, &lt; 0,55% C, &lt; 400 N/mm2</t>
    </r>
    <phoneticPr fontId="4"/>
  </si>
  <si>
    <t>高炭素鋼, &lt; 0,85% C, &lt; 850 N/mm2</t>
    <phoneticPr fontId="4"/>
  </si>
  <si>
    <r>
      <t>高碳鋼</t>
    </r>
    <r>
      <rPr>
        <sz val="9"/>
        <rFont val="Verdana"/>
        <family val="2"/>
      </rPr>
      <t xml:space="preserve">, &lt; 0,85% </t>
    </r>
    <r>
      <rPr>
        <sz val="9"/>
        <rFont val="細明體"/>
        <family val="3"/>
      </rPr>
      <t>碳</t>
    </r>
    <r>
      <rPr>
        <sz val="9"/>
        <rFont val="Verdana"/>
        <family val="2"/>
      </rPr>
      <t>, &lt; 850 N/mm2</t>
    </r>
    <phoneticPr fontId="4"/>
  </si>
  <si>
    <r>
      <t>高碳钢</t>
    </r>
    <r>
      <rPr>
        <sz val="10"/>
        <rFont val="Arial"/>
        <family val="2"/>
      </rPr>
      <t>, &lt; 0,85% C, &lt; 850 N/mm2</t>
    </r>
    <phoneticPr fontId="4"/>
  </si>
  <si>
    <t>低合金鋼, &lt; 850 N/mm2</t>
    <phoneticPr fontId="4"/>
  </si>
  <si>
    <r>
      <t>低合金鋼</t>
    </r>
    <r>
      <rPr>
        <sz val="9"/>
        <rFont val="Verdana"/>
        <family val="2"/>
      </rPr>
      <t>, &lt; 850 N/mm2</t>
    </r>
    <phoneticPr fontId="4"/>
  </si>
  <si>
    <r>
      <t>低合金钢</t>
    </r>
    <r>
      <rPr>
        <sz val="10"/>
        <rFont val="Arial"/>
        <family val="2"/>
      </rPr>
      <t>, &lt; 850 N/mm2</t>
    </r>
    <phoneticPr fontId="4"/>
  </si>
  <si>
    <t>高合金鋼, &lt; 1200 N/mm2</t>
    <phoneticPr fontId="4"/>
  </si>
  <si>
    <r>
      <t>高合金鋼</t>
    </r>
    <r>
      <rPr>
        <sz val="9"/>
        <rFont val="Verdana"/>
        <family val="2"/>
      </rPr>
      <t>, &lt; 1200 N/mm2</t>
    </r>
    <phoneticPr fontId="4"/>
  </si>
  <si>
    <r>
      <t>高合金钢</t>
    </r>
    <r>
      <rPr>
        <sz val="10"/>
        <rFont val="Arial"/>
        <family val="2"/>
      </rPr>
      <t>, &lt; 1200 N/mm2</t>
    </r>
    <phoneticPr fontId="4"/>
  </si>
  <si>
    <t>焼き入れ鋼, &lt; 45 HRC</t>
    <phoneticPr fontId="4"/>
  </si>
  <si>
    <r>
      <t>硬化合金鋼</t>
    </r>
    <r>
      <rPr>
        <sz val="9"/>
        <rFont val="Verdana"/>
        <family val="2"/>
      </rPr>
      <t>, &lt; 45 HRC</t>
    </r>
    <phoneticPr fontId="4"/>
  </si>
  <si>
    <r>
      <t>淬火钢</t>
    </r>
    <r>
      <rPr>
        <sz val="10"/>
        <rFont val="Arial"/>
        <family val="2"/>
      </rPr>
      <t>, &lt; 45 HRC</t>
    </r>
    <phoneticPr fontId="4"/>
  </si>
  <si>
    <r>
      <t>焼き入れ鋼</t>
    </r>
    <r>
      <rPr>
        <sz val="9"/>
        <rFont val="Verdana"/>
        <family val="2"/>
      </rPr>
      <t>, &lt; 55 HRC</t>
    </r>
    <phoneticPr fontId="4"/>
  </si>
  <si>
    <r>
      <t>硬化合金鋼</t>
    </r>
    <r>
      <rPr>
        <sz val="9"/>
        <rFont val="Verdana"/>
        <family val="2"/>
      </rPr>
      <t>, &lt; 55 HRC</t>
    </r>
    <phoneticPr fontId="4"/>
  </si>
  <si>
    <r>
      <t>淬火钢</t>
    </r>
    <r>
      <rPr>
        <sz val="10"/>
        <rFont val="Arial"/>
        <family val="2"/>
      </rPr>
      <t>, &lt; 55 HRC</t>
    </r>
    <phoneticPr fontId="4"/>
  </si>
  <si>
    <r>
      <t>焼き入れ鋼</t>
    </r>
    <r>
      <rPr>
        <sz val="9"/>
        <rFont val="Verdana"/>
        <family val="2"/>
      </rPr>
      <t>, &lt; 65 HRC</t>
    </r>
    <r>
      <rPr>
        <b/>
        <sz val="10"/>
        <rFont val="Verdana"/>
        <family val="2"/>
      </rPr>
      <t/>
    </r>
    <phoneticPr fontId="4"/>
  </si>
  <si>
    <r>
      <t>硬化合金鋼</t>
    </r>
    <r>
      <rPr>
        <sz val="9"/>
        <rFont val="Verdana"/>
        <family val="2"/>
      </rPr>
      <t>, &lt; 65 HRC</t>
    </r>
    <phoneticPr fontId="4"/>
  </si>
  <si>
    <r>
      <t>淬火钢</t>
    </r>
    <r>
      <rPr>
        <sz val="10"/>
        <rFont val="Arial"/>
        <family val="2"/>
      </rPr>
      <t>, &lt; 65 HRC</t>
    </r>
    <phoneticPr fontId="4"/>
  </si>
  <si>
    <t>鋳鉄、グラファイト薄板, &lt; 500 N/mm2</t>
    <phoneticPr fontId="4"/>
  </si>
  <si>
    <r>
      <t>灰口鑄鐵</t>
    </r>
    <r>
      <rPr>
        <sz val="9"/>
        <rFont val="Verdana"/>
        <family val="2"/>
      </rPr>
      <t>, &lt; 500 N/mm2</t>
    </r>
    <phoneticPr fontId="4"/>
  </si>
  <si>
    <r>
      <t>铸铁中片状石墨</t>
    </r>
    <r>
      <rPr>
        <sz val="10"/>
        <rFont val="Arial"/>
        <family val="2"/>
      </rPr>
      <t>,  &lt; 500 N/mm2</t>
    </r>
    <phoneticPr fontId="4"/>
  </si>
  <si>
    <t>鋳鉄、グラファイト薄板、 &lt; 1000 N/mm2</t>
    <phoneticPr fontId="4"/>
  </si>
  <si>
    <r>
      <t>铸铁中片状石墨</t>
    </r>
    <r>
      <rPr>
        <sz val="10"/>
        <rFont val="Arial"/>
        <family val="2"/>
      </rPr>
      <t>, &lt; 1000 N/mm2</t>
    </r>
    <phoneticPr fontId="4"/>
  </si>
  <si>
    <t>ダクタイル鋳鉄、（マレーブル）, &lt; 700 N/mm2</t>
    <phoneticPr fontId="4"/>
  </si>
  <si>
    <r>
      <t>球狀石墨鑄鐵</t>
    </r>
    <r>
      <rPr>
        <sz val="9"/>
        <rFont val="Verdana"/>
        <family val="2"/>
      </rPr>
      <t xml:space="preserve">, </t>
    </r>
    <r>
      <rPr>
        <sz val="9"/>
        <rFont val="細明體"/>
        <family val="3"/>
      </rPr>
      <t>可鍛鑄鐵</t>
    </r>
    <r>
      <rPr>
        <sz val="9"/>
        <rFont val="Verdana"/>
        <family val="2"/>
      </rPr>
      <t>, &lt; 700 N/mm2</t>
    </r>
    <phoneticPr fontId="4"/>
  </si>
  <si>
    <r>
      <t>铸铁</t>
    </r>
    <r>
      <rPr>
        <sz val="10"/>
        <rFont val="Arial"/>
        <family val="2"/>
      </rPr>
      <t xml:space="preserve">, </t>
    </r>
    <r>
      <rPr>
        <sz val="10"/>
        <rFont val="宋体"/>
        <charset val="129"/>
      </rPr>
      <t>球墨铸铁</t>
    </r>
    <r>
      <rPr>
        <sz val="10"/>
        <rFont val="Arial"/>
        <family val="2"/>
      </rPr>
      <t xml:space="preserve">, </t>
    </r>
    <r>
      <rPr>
        <sz val="10"/>
        <rFont val="宋体"/>
        <charset val="129"/>
      </rPr>
      <t>可锻铸铁</t>
    </r>
    <r>
      <rPr>
        <sz val="10"/>
        <rFont val="Arial"/>
        <family val="2"/>
      </rPr>
      <t xml:space="preserve"> &lt; 700 N/mm2</t>
    </r>
    <phoneticPr fontId="4"/>
  </si>
  <si>
    <t>ダクタイル鋳鉄、（マレーブル）, &lt; 1000 N/mm2</t>
    <phoneticPr fontId="4"/>
  </si>
  <si>
    <r>
      <t>球狀石墨鑄鐵</t>
    </r>
    <r>
      <rPr>
        <sz val="9"/>
        <rFont val="Verdana"/>
        <family val="2"/>
      </rPr>
      <t xml:space="preserve">, </t>
    </r>
    <r>
      <rPr>
        <sz val="9"/>
        <rFont val="細明體"/>
        <family val="3"/>
      </rPr>
      <t>可鍛鑄鐵</t>
    </r>
    <r>
      <rPr>
        <sz val="9"/>
        <rFont val="Verdana"/>
        <family val="2"/>
      </rPr>
      <t>, &lt; 1000 N/mm2</t>
    </r>
    <phoneticPr fontId="4"/>
  </si>
  <si>
    <r>
      <t>铸铁</t>
    </r>
    <r>
      <rPr>
        <sz val="10"/>
        <rFont val="Arial"/>
        <family val="2"/>
      </rPr>
      <t xml:space="preserve">, </t>
    </r>
    <r>
      <rPr>
        <sz val="10"/>
        <rFont val="宋体"/>
        <charset val="129"/>
      </rPr>
      <t>球墨铸铁</t>
    </r>
    <r>
      <rPr>
        <sz val="10"/>
        <rFont val="Arial"/>
        <family val="2"/>
      </rPr>
      <t xml:space="preserve">, </t>
    </r>
    <r>
      <rPr>
        <sz val="10"/>
        <rFont val="宋体"/>
        <charset val="129"/>
      </rPr>
      <t>可锻铸铁</t>
    </r>
    <r>
      <rPr>
        <sz val="10"/>
        <rFont val="Arial"/>
        <family val="2"/>
      </rPr>
      <t xml:space="preserve"> &lt; 1000 N/mm2</t>
    </r>
    <phoneticPr fontId="4"/>
  </si>
  <si>
    <t>ステンレス鋼、快削系</t>
    <phoneticPr fontId="4"/>
  </si>
  <si>
    <r>
      <t>不鏽鋼</t>
    </r>
    <r>
      <rPr>
        <sz val="9"/>
        <rFont val="Verdana"/>
        <family val="2"/>
      </rPr>
      <t>, Austenitic</t>
    </r>
    <r>
      <rPr>
        <sz val="9"/>
        <rFont val="細明體"/>
        <family val="3"/>
      </rPr>
      <t>系列，如</t>
    </r>
    <r>
      <rPr>
        <sz val="9"/>
        <rFont val="Verdana"/>
        <family val="2"/>
      </rPr>
      <t>SUS304/SUS316</t>
    </r>
    <phoneticPr fontId="4"/>
  </si>
  <si>
    <r>
      <t>不锈钢</t>
    </r>
    <r>
      <rPr>
        <sz val="10"/>
        <rFont val="Arial"/>
        <family val="2"/>
      </rPr>
      <t xml:space="preserve">, </t>
    </r>
    <r>
      <rPr>
        <sz val="10"/>
        <rFont val="宋体"/>
        <charset val="129"/>
      </rPr>
      <t>易切削</t>
    </r>
    <phoneticPr fontId="4"/>
  </si>
  <si>
    <t>ステンレス鋼（オーステナイト系）</t>
    <phoneticPr fontId="4"/>
  </si>
  <si>
    <r>
      <t>不鏽鋼</t>
    </r>
    <r>
      <rPr>
        <sz val="9"/>
        <rFont val="Verdana"/>
        <family val="2"/>
      </rPr>
      <t>, Ferritic</t>
    </r>
    <r>
      <rPr>
        <sz val="9"/>
        <rFont val="細明體"/>
        <family val="3"/>
      </rPr>
      <t>系列，如</t>
    </r>
    <r>
      <rPr>
        <sz val="9"/>
        <rFont val="Verdana"/>
        <family val="2"/>
      </rPr>
      <t>SUS430/SUS434</t>
    </r>
    <phoneticPr fontId="4"/>
  </si>
  <si>
    <r>
      <t>不锈钢</t>
    </r>
    <r>
      <rPr>
        <sz val="10"/>
        <rFont val="Arial"/>
        <family val="2"/>
      </rPr>
      <t xml:space="preserve">, </t>
    </r>
    <r>
      <rPr>
        <sz val="10"/>
        <rFont val="宋体"/>
        <charset val="129"/>
      </rPr>
      <t>奥氏体</t>
    </r>
    <phoneticPr fontId="4"/>
  </si>
  <si>
    <t>ステンレス鋼（フェライト系、オーステナイト系）</t>
    <phoneticPr fontId="4"/>
  </si>
  <si>
    <r>
      <t>不鏽鋼</t>
    </r>
    <r>
      <rPr>
        <sz val="9"/>
        <rFont val="Verdana"/>
        <family val="2"/>
      </rPr>
      <t>, Martensitic</t>
    </r>
    <r>
      <rPr>
        <sz val="9"/>
        <rFont val="細明體"/>
        <family val="3"/>
      </rPr>
      <t>系列，如</t>
    </r>
    <r>
      <rPr>
        <sz val="9"/>
        <rFont val="Verdana"/>
        <family val="2"/>
      </rPr>
      <t>SUS420/SUS440</t>
    </r>
    <phoneticPr fontId="4"/>
  </si>
  <si>
    <r>
      <t>不锈钢</t>
    </r>
    <r>
      <rPr>
        <sz val="10"/>
        <rFont val="Arial"/>
        <family val="2"/>
      </rPr>
      <t xml:space="preserve">, </t>
    </r>
    <r>
      <rPr>
        <sz val="10"/>
        <rFont val="宋体"/>
        <charset val="129"/>
      </rPr>
      <t>铁素体和奥氏体</t>
    </r>
    <phoneticPr fontId="4"/>
  </si>
  <si>
    <t>チタン, &lt; 700 N/mm2</t>
    <phoneticPr fontId="4"/>
  </si>
  <si>
    <r>
      <t>純鈦</t>
    </r>
    <r>
      <rPr>
        <sz val="9"/>
        <rFont val="Verdana"/>
        <family val="2"/>
      </rPr>
      <t>, &lt; 700 N/mm2</t>
    </r>
    <phoneticPr fontId="4"/>
  </si>
  <si>
    <r>
      <t>纯钛</t>
    </r>
    <r>
      <rPr>
        <sz val="10"/>
        <rFont val="Arial"/>
        <family val="2"/>
      </rPr>
      <t>, &lt; 700 N/mm2</t>
    </r>
    <phoneticPr fontId="4"/>
  </si>
  <si>
    <t>チタン合金, &lt; 900 N/mm2</t>
    <phoneticPr fontId="4"/>
  </si>
  <si>
    <r>
      <t>鈦合金</t>
    </r>
    <r>
      <rPr>
        <sz val="9"/>
        <rFont val="Verdana"/>
        <family val="2"/>
      </rPr>
      <t>, &lt; 900 N/mm2</t>
    </r>
    <phoneticPr fontId="4"/>
  </si>
  <si>
    <r>
      <t>钛合金</t>
    </r>
    <r>
      <rPr>
        <sz val="10"/>
        <rFont val="Arial"/>
        <family val="2"/>
      </rPr>
      <t>, &lt; 900 N/mm2</t>
    </r>
    <phoneticPr fontId="4"/>
  </si>
  <si>
    <t>チタン合金, &lt; 1250N/mm2</t>
    <phoneticPr fontId="4"/>
  </si>
  <si>
    <r>
      <t>鈦合金</t>
    </r>
    <r>
      <rPr>
        <sz val="9"/>
        <rFont val="Verdana"/>
        <family val="2"/>
      </rPr>
      <t>, &lt; 1250 N/mm2</t>
    </r>
    <phoneticPr fontId="4"/>
  </si>
  <si>
    <r>
      <t>钛合金</t>
    </r>
    <r>
      <rPr>
        <sz val="10"/>
        <rFont val="Arial"/>
        <family val="2"/>
      </rPr>
      <t>, &lt; 1250 N/mm2</t>
    </r>
    <phoneticPr fontId="4"/>
  </si>
  <si>
    <t>ニッケル, &lt; 500 N/mm2</t>
    <phoneticPr fontId="4"/>
  </si>
  <si>
    <r>
      <t>純鎳</t>
    </r>
    <r>
      <rPr>
        <sz val="9"/>
        <rFont val="Verdana"/>
        <family val="2"/>
      </rPr>
      <t>, &lt; 500 N/mm2</t>
    </r>
    <phoneticPr fontId="4"/>
  </si>
  <si>
    <r>
      <t>纯镍</t>
    </r>
    <r>
      <rPr>
        <sz val="10"/>
        <rFont val="Arial"/>
        <family val="2"/>
      </rPr>
      <t>, &lt; 500 N/mm2</t>
    </r>
    <phoneticPr fontId="4"/>
  </si>
  <si>
    <t>ニッケル合金、 &lt; 900 N/mm2</t>
    <phoneticPr fontId="4"/>
  </si>
  <si>
    <r>
      <t>鎳合金</t>
    </r>
    <r>
      <rPr>
        <sz val="9"/>
        <rFont val="Verdana"/>
        <family val="2"/>
      </rPr>
      <t>, &lt; 900 N/mm2</t>
    </r>
    <phoneticPr fontId="4"/>
  </si>
  <si>
    <r>
      <t>镍合金</t>
    </r>
    <r>
      <rPr>
        <sz val="10"/>
        <rFont val="Arial"/>
        <family val="2"/>
      </rPr>
      <t>, &lt; 900 N/mm2</t>
    </r>
    <phoneticPr fontId="4"/>
  </si>
  <si>
    <t>ニッケル合金、 &lt; 1250 N/mm3</t>
    <phoneticPr fontId="4"/>
  </si>
  <si>
    <r>
      <t>鎳合金</t>
    </r>
    <r>
      <rPr>
        <sz val="9"/>
        <rFont val="Verdana"/>
        <family val="2"/>
      </rPr>
      <t>, &lt; 1250 N/mm2</t>
    </r>
    <phoneticPr fontId="4"/>
  </si>
  <si>
    <r>
      <t>镍合金</t>
    </r>
    <r>
      <rPr>
        <sz val="10"/>
        <rFont val="Arial"/>
        <family val="2"/>
      </rPr>
      <t>, &lt; 1250 N/mm2</t>
    </r>
    <phoneticPr fontId="4"/>
  </si>
  <si>
    <t>銅、 &lt; 350 N/mm2</t>
    <phoneticPr fontId="4"/>
  </si>
  <si>
    <r>
      <t>純銅</t>
    </r>
    <r>
      <rPr>
        <sz val="9"/>
        <rFont val="Verdana"/>
        <family val="2"/>
      </rPr>
      <t>, &lt; 350 N/mm2</t>
    </r>
    <phoneticPr fontId="4"/>
  </si>
  <si>
    <r>
      <t>纯铜</t>
    </r>
    <r>
      <rPr>
        <sz val="10"/>
        <rFont val="Arial"/>
        <family val="2"/>
      </rPr>
      <t>, &lt; 350 N/mm2</t>
    </r>
    <phoneticPr fontId="4"/>
  </si>
  <si>
    <t>銅、真鍮、青銅, &lt; 700 N/mm2</t>
    <phoneticPr fontId="4"/>
  </si>
  <si>
    <r>
      <t>銅</t>
    </r>
    <r>
      <rPr>
        <sz val="9"/>
        <rFont val="Verdana"/>
        <family val="2"/>
      </rPr>
      <t xml:space="preserve">, </t>
    </r>
    <r>
      <rPr>
        <sz val="9"/>
        <rFont val="細明體"/>
        <family val="3"/>
      </rPr>
      <t>黃銅</t>
    </r>
    <r>
      <rPr>
        <sz val="9"/>
        <rFont val="Verdana"/>
        <family val="2"/>
      </rPr>
      <t xml:space="preserve">, </t>
    </r>
    <r>
      <rPr>
        <sz val="9"/>
        <rFont val="細明體"/>
        <family val="3"/>
      </rPr>
      <t>青銅</t>
    </r>
    <r>
      <rPr>
        <sz val="9"/>
        <rFont val="Verdana"/>
        <family val="2"/>
      </rPr>
      <t>, &lt; 700 N/mm2</t>
    </r>
    <phoneticPr fontId="4"/>
  </si>
  <si>
    <r>
      <t>铜</t>
    </r>
    <r>
      <rPr>
        <sz val="10"/>
        <rFont val="Arial"/>
        <family val="2"/>
      </rPr>
      <t xml:space="preserve">, </t>
    </r>
    <r>
      <rPr>
        <sz val="10"/>
        <rFont val="宋体"/>
        <charset val="129"/>
      </rPr>
      <t>黄铜</t>
    </r>
    <r>
      <rPr>
        <sz val="10"/>
        <rFont val="Arial"/>
        <family val="2"/>
      </rPr>
      <t xml:space="preserve">, </t>
    </r>
    <r>
      <rPr>
        <sz val="10"/>
        <rFont val="宋体"/>
        <charset val="129"/>
      </rPr>
      <t>青铜</t>
    </r>
    <r>
      <rPr>
        <sz val="10"/>
        <rFont val="Arial"/>
        <family val="2"/>
      </rPr>
      <t>, &lt; 700 N/mm2</t>
    </r>
    <phoneticPr fontId="4"/>
  </si>
  <si>
    <t>銅、高抗張力青銅, &lt; 1500 N/mm2</t>
    <phoneticPr fontId="4"/>
  </si>
  <si>
    <r>
      <t>銅</t>
    </r>
    <r>
      <rPr>
        <sz val="9"/>
        <rFont val="Verdana"/>
        <family val="2"/>
      </rPr>
      <t xml:space="preserve">, </t>
    </r>
    <r>
      <rPr>
        <sz val="9"/>
        <rFont val="細明體"/>
        <family val="3"/>
      </rPr>
      <t>高張力青銅</t>
    </r>
    <r>
      <rPr>
        <sz val="9"/>
        <rFont val="Verdana"/>
        <family val="2"/>
      </rPr>
      <t>, &lt; 1500 N/mm2</t>
    </r>
    <phoneticPr fontId="4"/>
  </si>
  <si>
    <r>
      <t>铜</t>
    </r>
    <r>
      <rPr>
        <sz val="10"/>
        <rFont val="Arial"/>
        <family val="2"/>
      </rPr>
      <t xml:space="preserve">, </t>
    </r>
    <r>
      <rPr>
        <sz val="10"/>
        <rFont val="宋体"/>
        <charset val="129"/>
      </rPr>
      <t>高强度青铜</t>
    </r>
    <r>
      <rPr>
        <sz val="10"/>
        <rFont val="Arial"/>
        <family val="2"/>
      </rPr>
      <t>, &lt; 1500 N/mm2</t>
    </r>
    <phoneticPr fontId="4"/>
  </si>
  <si>
    <t>アルミ</t>
    <phoneticPr fontId="4"/>
  </si>
  <si>
    <t>純鋁</t>
    <phoneticPr fontId="4"/>
  </si>
  <si>
    <t>纯铝</t>
    <phoneticPr fontId="4"/>
  </si>
  <si>
    <t>アルミ合金, &lt; 0.5% Si</t>
    <phoneticPr fontId="4"/>
  </si>
  <si>
    <r>
      <t>鋁合金</t>
    </r>
    <r>
      <rPr>
        <sz val="9"/>
        <rFont val="Verdana"/>
        <family val="2"/>
      </rPr>
      <t xml:space="preserve">, &lt; 0.5% </t>
    </r>
    <r>
      <rPr>
        <sz val="9"/>
        <rFont val="細明體"/>
        <family val="3"/>
      </rPr>
      <t>矽</t>
    </r>
    <phoneticPr fontId="4"/>
  </si>
  <si>
    <r>
      <t>铝合金</t>
    </r>
    <r>
      <rPr>
        <sz val="10"/>
        <rFont val="Arial"/>
        <family val="2"/>
      </rPr>
      <t>,  &lt; 0.5% Si</t>
    </r>
    <phoneticPr fontId="4"/>
  </si>
  <si>
    <t>アルミ合金, &lt; 10% Si</t>
    <phoneticPr fontId="4"/>
  </si>
  <si>
    <r>
      <t>鋁合金</t>
    </r>
    <r>
      <rPr>
        <sz val="9"/>
        <rFont val="Verdana"/>
        <family val="2"/>
      </rPr>
      <t xml:space="preserve">, &lt; 10% </t>
    </r>
    <r>
      <rPr>
        <sz val="9"/>
        <rFont val="細明體"/>
        <family val="3"/>
      </rPr>
      <t>矽</t>
    </r>
    <phoneticPr fontId="4"/>
  </si>
  <si>
    <r>
      <t>铝合金</t>
    </r>
    <r>
      <rPr>
        <sz val="10"/>
        <rFont val="Arial"/>
        <family val="2"/>
      </rPr>
      <t>, &lt; 10% Si</t>
    </r>
    <phoneticPr fontId="4"/>
  </si>
  <si>
    <t>アルミ合金, &gt; 10% Si</t>
    <phoneticPr fontId="4"/>
  </si>
  <si>
    <r>
      <t>鋁合金</t>
    </r>
    <r>
      <rPr>
        <sz val="9"/>
        <rFont val="Verdana"/>
        <family val="2"/>
      </rPr>
      <t xml:space="preserve">, &gt; 10% </t>
    </r>
    <r>
      <rPr>
        <sz val="9"/>
        <rFont val="細明體"/>
        <family val="3"/>
      </rPr>
      <t>矽</t>
    </r>
    <phoneticPr fontId="4"/>
  </si>
  <si>
    <r>
      <t>铝合金</t>
    </r>
    <r>
      <rPr>
        <sz val="10"/>
        <rFont val="Arial"/>
        <family val="2"/>
      </rPr>
      <t>, &gt; 10% Si</t>
    </r>
    <phoneticPr fontId="4"/>
  </si>
  <si>
    <t>インコネル718</t>
    <phoneticPr fontId="4"/>
  </si>
  <si>
    <r>
      <t>高張力鎳合金，如</t>
    </r>
    <r>
      <rPr>
        <sz val="9"/>
        <rFont val="Verdana"/>
        <family val="2"/>
      </rPr>
      <t>Inconel 718</t>
    </r>
    <phoneticPr fontId="4"/>
  </si>
  <si>
    <r>
      <t>镍基合金</t>
    </r>
    <r>
      <rPr>
        <sz val="10"/>
        <color indexed="8"/>
        <rFont val="Arial"/>
        <family val="2"/>
      </rPr>
      <t xml:space="preserve"> Inconel 718</t>
    </r>
    <phoneticPr fontId="4"/>
  </si>
  <si>
    <t>グラファイト</t>
    <phoneticPr fontId="4"/>
  </si>
  <si>
    <t>石墨</t>
    <phoneticPr fontId="4"/>
  </si>
  <si>
    <t>Ｄ＝ねじ径（㎜）</t>
    <phoneticPr fontId="4"/>
  </si>
  <si>
    <r>
      <t xml:space="preserve">D = </t>
    </r>
    <r>
      <rPr>
        <sz val="9"/>
        <rFont val="細明體"/>
        <family val="3"/>
      </rPr>
      <t>銑牙外徑</t>
    </r>
    <r>
      <rPr>
        <sz val="9"/>
        <rFont val="Verdana"/>
        <family val="2"/>
      </rPr>
      <t xml:space="preserve"> (mm)</t>
    </r>
    <phoneticPr fontId="4"/>
  </si>
  <si>
    <r>
      <t xml:space="preserve">D = </t>
    </r>
    <r>
      <rPr>
        <sz val="10"/>
        <rFont val="宋体"/>
        <charset val="129"/>
      </rPr>
      <t>螺纹直径</t>
    </r>
    <r>
      <rPr>
        <sz val="10"/>
        <rFont val="Arial"/>
        <family val="2"/>
      </rPr>
      <t xml:space="preserve"> (mm)</t>
    </r>
    <phoneticPr fontId="4"/>
  </si>
  <si>
    <t>Ｐ＝ピッチ（㎜）</t>
    <phoneticPr fontId="4"/>
  </si>
  <si>
    <r>
      <t xml:space="preserve">P = </t>
    </r>
    <r>
      <rPr>
        <sz val="9"/>
        <rFont val="細明體"/>
        <family val="3"/>
      </rPr>
      <t>牙距</t>
    </r>
    <r>
      <rPr>
        <sz val="9"/>
        <rFont val="Verdana"/>
        <family val="2"/>
      </rPr>
      <t xml:space="preserve"> (mm)</t>
    </r>
    <phoneticPr fontId="4"/>
  </si>
  <si>
    <r>
      <t xml:space="preserve">P = </t>
    </r>
    <r>
      <rPr>
        <sz val="10"/>
        <rFont val="宋体"/>
        <charset val="129"/>
      </rPr>
      <t>螺距</t>
    </r>
    <r>
      <rPr>
        <sz val="10"/>
        <rFont val="Arial"/>
        <family val="2"/>
      </rPr>
      <t xml:space="preserve"> (mm)</t>
    </r>
    <phoneticPr fontId="4"/>
  </si>
  <si>
    <t>Ｐ＝ピッチ（山数）</t>
    <phoneticPr fontId="4"/>
  </si>
  <si>
    <r>
      <t xml:space="preserve">P = </t>
    </r>
    <r>
      <rPr>
        <sz val="9"/>
        <rFont val="細明體"/>
        <family val="3"/>
      </rPr>
      <t>每英吋牙數</t>
    </r>
    <r>
      <rPr>
        <sz val="9"/>
        <rFont val="Verdana"/>
        <family val="2"/>
      </rPr>
      <t xml:space="preserve"> (TPI)</t>
    </r>
    <phoneticPr fontId="4"/>
  </si>
  <si>
    <r>
      <t xml:space="preserve">P = </t>
    </r>
    <r>
      <rPr>
        <sz val="10"/>
        <rFont val="宋体"/>
        <charset val="129"/>
      </rPr>
      <t>螺距</t>
    </r>
    <r>
      <rPr>
        <sz val="10"/>
        <rFont val="Arial"/>
        <family val="2"/>
      </rPr>
      <t xml:space="preserve"> (TPI - </t>
    </r>
    <r>
      <rPr>
        <sz val="10"/>
        <rFont val="宋体"/>
        <charset val="129"/>
      </rPr>
      <t>每英寸牙数</t>
    </r>
    <r>
      <rPr>
        <sz val="10"/>
        <rFont val="Arial"/>
        <family val="2"/>
      </rPr>
      <t>)</t>
    </r>
    <phoneticPr fontId="4"/>
  </si>
  <si>
    <t>Ｌ＝ねじ長さ（㎜）</t>
    <phoneticPr fontId="4"/>
  </si>
  <si>
    <r>
      <t xml:space="preserve">L = </t>
    </r>
    <r>
      <rPr>
        <sz val="9"/>
        <rFont val="細明體"/>
        <family val="3"/>
      </rPr>
      <t>銑牙深度</t>
    </r>
    <r>
      <rPr>
        <sz val="9"/>
        <rFont val="Verdana"/>
        <family val="2"/>
      </rPr>
      <t xml:space="preserve"> (mm)</t>
    </r>
    <phoneticPr fontId="4"/>
  </si>
  <si>
    <r>
      <t xml:space="preserve">L = </t>
    </r>
    <r>
      <rPr>
        <sz val="10"/>
        <rFont val="宋体"/>
        <charset val="129"/>
      </rPr>
      <t>螺纹长度</t>
    </r>
    <r>
      <rPr>
        <sz val="10"/>
        <rFont val="Arial"/>
        <family val="2"/>
      </rPr>
      <t xml:space="preserve"> (mm)</t>
    </r>
    <phoneticPr fontId="4"/>
  </si>
  <si>
    <t>Ｓ＝安全な距離（㎜）</t>
    <phoneticPr fontId="4"/>
  </si>
  <si>
    <r>
      <t xml:space="preserve">S = </t>
    </r>
    <r>
      <rPr>
        <sz val="9"/>
        <rFont val="細明體"/>
        <family val="3"/>
      </rPr>
      <t>安全距離</t>
    </r>
    <r>
      <rPr>
        <sz val="9"/>
        <rFont val="Verdana"/>
        <family val="2"/>
      </rPr>
      <t xml:space="preserve"> (mm)</t>
    </r>
    <phoneticPr fontId="4"/>
  </si>
  <si>
    <r>
      <t xml:space="preserve">S = </t>
    </r>
    <r>
      <rPr>
        <sz val="10"/>
        <rFont val="宋体"/>
        <charset val="129"/>
      </rPr>
      <t>安全距离</t>
    </r>
    <r>
      <rPr>
        <sz val="10"/>
        <rFont val="Arial"/>
        <family val="2"/>
      </rPr>
      <t xml:space="preserve"> (mm)</t>
    </r>
    <phoneticPr fontId="4"/>
  </si>
  <si>
    <r>
      <t>d=</t>
    </r>
    <r>
      <rPr>
        <sz val="9"/>
        <rFont val="ＭＳ Ｐゴシック"/>
        <family val="2"/>
        <charset val="128"/>
      </rPr>
      <t>カッタ径（㎜）</t>
    </r>
    <phoneticPr fontId="4"/>
  </si>
  <si>
    <r>
      <t xml:space="preserve">d = </t>
    </r>
    <r>
      <rPr>
        <sz val="9"/>
        <rFont val="細明體"/>
        <family val="3"/>
      </rPr>
      <t>銑牙刀刃外徑</t>
    </r>
    <r>
      <rPr>
        <sz val="9"/>
        <rFont val="Verdana"/>
        <family val="2"/>
      </rPr>
      <t xml:space="preserve"> (mm)</t>
    </r>
    <phoneticPr fontId="4"/>
  </si>
  <si>
    <r>
      <t xml:space="preserve">d = </t>
    </r>
    <r>
      <rPr>
        <sz val="10"/>
        <rFont val="宋体"/>
        <charset val="129"/>
      </rPr>
      <t>刀具直径</t>
    </r>
    <r>
      <rPr>
        <sz val="10"/>
        <rFont val="Arial"/>
        <family val="2"/>
      </rPr>
      <t xml:space="preserve"> (mm)</t>
    </r>
    <phoneticPr fontId="4"/>
  </si>
  <si>
    <r>
      <t>l=</t>
    </r>
    <r>
      <rPr>
        <sz val="9"/>
        <rFont val="ＭＳ Ｐゴシック"/>
        <family val="2"/>
        <charset val="128"/>
      </rPr>
      <t>有効刃長（㎜）</t>
    </r>
    <phoneticPr fontId="4"/>
  </si>
  <si>
    <r>
      <t xml:space="preserve">l = </t>
    </r>
    <r>
      <rPr>
        <sz val="9"/>
        <rFont val="細明體"/>
        <family val="3"/>
      </rPr>
      <t>銑牙刀刃長度</t>
    </r>
    <r>
      <rPr>
        <sz val="9"/>
        <rFont val="Verdana"/>
        <family val="2"/>
      </rPr>
      <t xml:space="preserve"> (mm)</t>
    </r>
    <phoneticPr fontId="4"/>
  </si>
  <si>
    <r>
      <t xml:space="preserve">l = </t>
    </r>
    <r>
      <rPr>
        <sz val="10"/>
        <rFont val="宋体"/>
        <charset val="129"/>
      </rPr>
      <t>切削刃长度</t>
    </r>
    <r>
      <rPr>
        <sz val="10"/>
        <rFont val="Arial"/>
        <family val="2"/>
      </rPr>
      <t xml:space="preserve"> (mm)</t>
    </r>
    <phoneticPr fontId="4"/>
  </si>
  <si>
    <r>
      <t>z=</t>
    </r>
    <r>
      <rPr>
        <sz val="9"/>
        <rFont val="ＭＳ Ｐゴシック"/>
        <family val="2"/>
        <charset val="128"/>
      </rPr>
      <t>刃数</t>
    </r>
    <phoneticPr fontId="4"/>
  </si>
  <si>
    <r>
      <t xml:space="preserve">z = </t>
    </r>
    <r>
      <rPr>
        <sz val="9"/>
        <rFont val="細明體"/>
        <family val="3"/>
      </rPr>
      <t>銑牙刀刃數</t>
    </r>
    <phoneticPr fontId="4"/>
  </si>
  <si>
    <r>
      <t xml:space="preserve">z = </t>
    </r>
    <r>
      <rPr>
        <sz val="10"/>
        <rFont val="宋体"/>
        <charset val="129"/>
      </rPr>
      <t>齿数</t>
    </r>
    <phoneticPr fontId="4"/>
  </si>
  <si>
    <r>
      <t>V=</t>
    </r>
    <r>
      <rPr>
        <sz val="9"/>
        <rFont val="ＭＳ Ｐゴシック"/>
        <family val="2"/>
        <charset val="128"/>
      </rPr>
      <t>切削速度</t>
    </r>
    <r>
      <rPr>
        <sz val="9"/>
        <rFont val="Verdana"/>
        <family val="2"/>
      </rPr>
      <t>(m/min)</t>
    </r>
    <phoneticPr fontId="4"/>
  </si>
  <si>
    <r>
      <t xml:space="preserve">V = </t>
    </r>
    <r>
      <rPr>
        <sz val="9"/>
        <rFont val="細明體"/>
        <family val="3"/>
      </rPr>
      <t>切削速度</t>
    </r>
    <r>
      <rPr>
        <sz val="9"/>
        <rFont val="Verdana"/>
        <family val="2"/>
      </rPr>
      <t xml:space="preserve"> (m/min)</t>
    </r>
    <phoneticPr fontId="4"/>
  </si>
  <si>
    <r>
      <t xml:space="preserve">V = </t>
    </r>
    <r>
      <rPr>
        <sz val="10"/>
        <rFont val="宋体"/>
        <charset val="129"/>
      </rPr>
      <t>切削速度</t>
    </r>
    <r>
      <rPr>
        <sz val="10"/>
        <rFont val="Arial"/>
        <family val="2"/>
      </rPr>
      <t xml:space="preserve">  (mm/min)</t>
    </r>
    <phoneticPr fontId="4"/>
  </si>
  <si>
    <r>
      <t>Fz=</t>
    </r>
    <r>
      <rPr>
        <sz val="9"/>
        <rFont val="ＭＳ Ｐゴシック"/>
        <family val="2"/>
        <charset val="128"/>
      </rPr>
      <t>一刃当たり送り（</t>
    </r>
    <r>
      <rPr>
        <sz val="9"/>
        <rFont val="Verdana"/>
        <family val="2"/>
      </rPr>
      <t>mm/</t>
    </r>
    <r>
      <rPr>
        <sz val="9"/>
        <rFont val="ＭＳ Ｐゴシック"/>
        <family val="2"/>
        <charset val="128"/>
      </rPr>
      <t>刃）</t>
    </r>
    <phoneticPr fontId="4"/>
  </si>
  <si>
    <r>
      <t xml:space="preserve">Fz = </t>
    </r>
    <r>
      <rPr>
        <sz val="9"/>
        <rFont val="細明體"/>
        <family val="3"/>
      </rPr>
      <t>每牙進給量</t>
    </r>
    <r>
      <rPr>
        <sz val="9"/>
        <rFont val="Verdana"/>
        <family val="2"/>
      </rPr>
      <t xml:space="preserve"> (mm/tooth)</t>
    </r>
    <phoneticPr fontId="4"/>
  </si>
  <si>
    <r>
      <t xml:space="preserve">Fz = </t>
    </r>
    <r>
      <rPr>
        <sz val="10"/>
        <rFont val="宋体"/>
        <charset val="129"/>
      </rPr>
      <t>每齿进给速度</t>
    </r>
    <r>
      <rPr>
        <sz val="10"/>
        <rFont val="Arial"/>
        <family val="2"/>
      </rPr>
      <t xml:space="preserve"> (mm/</t>
    </r>
    <r>
      <rPr>
        <sz val="10"/>
        <rFont val="宋体"/>
        <charset val="129"/>
      </rPr>
      <t>刃</t>
    </r>
    <r>
      <rPr>
        <sz val="10"/>
        <rFont val="Arial"/>
        <family val="2"/>
      </rPr>
      <t>)</t>
    </r>
    <phoneticPr fontId="4"/>
  </si>
  <si>
    <t>パス回数、ラジアル方向（最大３）</t>
    <phoneticPr fontId="4"/>
  </si>
  <si>
    <r>
      <t>銑牙次數</t>
    </r>
    <r>
      <rPr>
        <sz val="9"/>
        <rFont val="Verdana"/>
        <family val="2"/>
      </rPr>
      <t xml:space="preserve">, </t>
    </r>
    <r>
      <rPr>
        <sz val="9"/>
        <rFont val="細明體"/>
        <family val="3"/>
      </rPr>
      <t>徑向</t>
    </r>
    <r>
      <rPr>
        <sz val="9"/>
        <rFont val="Verdana"/>
        <family val="2"/>
      </rPr>
      <t xml:space="preserve"> (max 3)</t>
    </r>
    <phoneticPr fontId="4"/>
  </si>
  <si>
    <r>
      <t>走刀次数</t>
    </r>
    <r>
      <rPr>
        <sz val="10"/>
        <rFont val="Arial"/>
        <family val="2"/>
      </rPr>
      <t xml:space="preserve">, </t>
    </r>
    <r>
      <rPr>
        <sz val="10"/>
        <rFont val="宋体"/>
        <charset val="129"/>
      </rPr>
      <t>径向</t>
    </r>
    <r>
      <rPr>
        <sz val="10"/>
        <rFont val="Arial"/>
        <family val="2"/>
      </rPr>
      <t xml:space="preserve"> (</t>
    </r>
    <r>
      <rPr>
        <sz val="10"/>
        <rFont val="宋体"/>
        <charset val="129"/>
      </rPr>
      <t>最多</t>
    </r>
    <r>
      <rPr>
        <sz val="10"/>
        <rFont val="Arial"/>
        <family val="2"/>
      </rPr>
      <t>3</t>
    </r>
    <r>
      <rPr>
        <sz val="10"/>
        <rFont val="宋体"/>
        <charset val="129"/>
      </rPr>
      <t>次</t>
    </r>
    <r>
      <rPr>
        <sz val="10"/>
        <rFont val="Arial"/>
        <family val="2"/>
      </rPr>
      <t xml:space="preserve"> )</t>
    </r>
    <phoneticPr fontId="4"/>
  </si>
  <si>
    <t>パス回数、アキシャル方向</t>
    <phoneticPr fontId="4"/>
  </si>
  <si>
    <r>
      <t>銑牙次數</t>
    </r>
    <r>
      <rPr>
        <sz val="9"/>
        <rFont val="Verdana"/>
        <family val="2"/>
      </rPr>
      <t xml:space="preserve">, </t>
    </r>
    <r>
      <rPr>
        <sz val="9"/>
        <rFont val="細明體"/>
        <family val="3"/>
      </rPr>
      <t>軸向</t>
    </r>
    <phoneticPr fontId="4"/>
  </si>
  <si>
    <t>走刀次数, 轴向</t>
    <phoneticPr fontId="4"/>
  </si>
  <si>
    <r>
      <t>N=</t>
    </r>
    <r>
      <rPr>
        <sz val="9"/>
        <rFont val="ＭＳ Ｐゴシック"/>
        <family val="2"/>
        <charset val="128"/>
      </rPr>
      <t>回転数（ｒｐｍ）</t>
    </r>
    <phoneticPr fontId="4"/>
  </si>
  <si>
    <r>
      <t xml:space="preserve">N = </t>
    </r>
    <r>
      <rPr>
        <sz val="9"/>
        <rFont val="細明體"/>
        <family val="3"/>
      </rPr>
      <t>轉速</t>
    </r>
    <r>
      <rPr>
        <sz val="9"/>
        <rFont val="Verdana"/>
        <family val="2"/>
      </rPr>
      <t xml:space="preserve"> (rpm)</t>
    </r>
    <phoneticPr fontId="4"/>
  </si>
  <si>
    <r>
      <t xml:space="preserve">N = </t>
    </r>
    <r>
      <rPr>
        <sz val="10"/>
        <rFont val="宋体"/>
        <charset val="129"/>
      </rPr>
      <t>主轴转速</t>
    </r>
    <r>
      <rPr>
        <sz val="10"/>
        <rFont val="Arial"/>
        <family val="2"/>
      </rPr>
      <t xml:space="preserve"> (rpm)</t>
    </r>
    <phoneticPr fontId="4"/>
  </si>
  <si>
    <r>
      <t>FD=</t>
    </r>
    <r>
      <rPr>
        <sz val="9"/>
        <rFont val="ＭＳ Ｐゴシック"/>
        <family val="2"/>
        <charset val="128"/>
      </rPr>
      <t>ねじ径の送り（ｍｍ</t>
    </r>
    <r>
      <rPr>
        <sz val="9"/>
        <rFont val="Verdana"/>
        <family val="2"/>
      </rPr>
      <t>)</t>
    </r>
    <phoneticPr fontId="4"/>
  </si>
  <si>
    <r>
      <t xml:space="preserve">FD = </t>
    </r>
    <r>
      <rPr>
        <sz val="9"/>
        <rFont val="細明體"/>
        <family val="3"/>
      </rPr>
      <t>牙徑進給</t>
    </r>
    <r>
      <rPr>
        <sz val="9"/>
        <rFont val="Verdana"/>
        <family val="2"/>
      </rPr>
      <t xml:space="preserve"> (mm/min)</t>
    </r>
    <phoneticPr fontId="4"/>
  </si>
  <si>
    <r>
      <t xml:space="preserve">FD = </t>
    </r>
    <r>
      <rPr>
        <sz val="10"/>
        <rFont val="宋体"/>
        <charset val="129"/>
      </rPr>
      <t>直径进给速度</t>
    </r>
    <r>
      <rPr>
        <sz val="10"/>
        <rFont val="Arial"/>
        <family val="2"/>
      </rPr>
      <t xml:space="preserve"> (mm/min)</t>
    </r>
    <phoneticPr fontId="4"/>
  </si>
  <si>
    <r>
      <t>Fd=</t>
    </r>
    <r>
      <rPr>
        <sz val="9"/>
        <rFont val="ＭＳ Ｐゴシック"/>
        <family val="2"/>
        <charset val="128"/>
      </rPr>
      <t>カッタの中心での送り（</t>
    </r>
    <r>
      <rPr>
        <sz val="9"/>
        <rFont val="Verdana"/>
        <family val="2"/>
      </rPr>
      <t>mm/min)</t>
    </r>
    <phoneticPr fontId="4"/>
  </si>
  <si>
    <r>
      <t xml:space="preserve">Fd = </t>
    </r>
    <r>
      <rPr>
        <sz val="9"/>
        <rFont val="細明體"/>
        <family val="3"/>
      </rPr>
      <t>中心銑牙進給</t>
    </r>
    <r>
      <rPr>
        <sz val="9"/>
        <rFont val="Verdana"/>
        <family val="2"/>
      </rPr>
      <t xml:space="preserve"> (mm/min)</t>
    </r>
    <phoneticPr fontId="4"/>
  </si>
  <si>
    <r>
      <t xml:space="preserve">Fd = </t>
    </r>
    <r>
      <rPr>
        <sz val="10"/>
        <rFont val="宋体"/>
        <charset val="129"/>
      </rPr>
      <t>中心进给速度</t>
    </r>
    <r>
      <rPr>
        <sz val="10"/>
        <rFont val="Arial"/>
        <family val="2"/>
      </rPr>
      <t xml:space="preserve"> (mm/min)</t>
    </r>
    <phoneticPr fontId="4"/>
  </si>
  <si>
    <r>
      <t>T=</t>
    </r>
    <r>
      <rPr>
        <sz val="9"/>
        <rFont val="ＭＳ Ｐゴシック"/>
        <family val="2"/>
        <charset val="128"/>
      </rPr>
      <t>ねじの加工時間（秒）</t>
    </r>
    <phoneticPr fontId="4"/>
  </si>
  <si>
    <r>
      <t>T =</t>
    </r>
    <r>
      <rPr>
        <sz val="9"/>
        <rFont val="細明體"/>
        <family val="3"/>
      </rPr>
      <t>完成銑牙時間</t>
    </r>
    <r>
      <rPr>
        <sz val="9"/>
        <rFont val="Verdana"/>
        <family val="2"/>
      </rPr>
      <t xml:space="preserve"> (seconds)</t>
    </r>
    <phoneticPr fontId="4"/>
  </si>
  <si>
    <r>
      <t xml:space="preserve">T = </t>
    </r>
    <r>
      <rPr>
        <sz val="10"/>
        <rFont val="宋体"/>
        <charset val="129"/>
      </rPr>
      <t>螺纹加工时间</t>
    </r>
    <r>
      <rPr>
        <sz val="10"/>
        <rFont val="Arial"/>
        <family val="2"/>
      </rPr>
      <t xml:space="preserve"> (</t>
    </r>
    <r>
      <rPr>
        <sz val="10"/>
        <rFont val="宋体"/>
        <charset val="129"/>
      </rPr>
      <t>秒</t>
    </r>
    <r>
      <rPr>
        <sz val="10"/>
        <rFont val="Arial"/>
        <family val="2"/>
      </rPr>
      <t>)</t>
    </r>
    <phoneticPr fontId="4"/>
  </si>
  <si>
    <t>ファナック用ＣＮＣプログラム</t>
    <phoneticPr fontId="4"/>
  </si>
  <si>
    <r>
      <t xml:space="preserve">Fanuc </t>
    </r>
    <r>
      <rPr>
        <sz val="9"/>
        <rFont val="細明體"/>
        <family val="3"/>
      </rPr>
      <t>之</t>
    </r>
    <r>
      <rPr>
        <sz val="9"/>
        <rFont val="Verdana"/>
        <family val="2"/>
      </rPr>
      <t xml:space="preserve">CNC </t>
    </r>
    <r>
      <rPr>
        <sz val="9"/>
        <rFont val="細明體"/>
        <family val="3"/>
      </rPr>
      <t>銑牙程式</t>
    </r>
    <phoneticPr fontId="4"/>
  </si>
  <si>
    <r>
      <t>CNC</t>
    </r>
    <r>
      <rPr>
        <sz val="10"/>
        <rFont val="宋体"/>
        <charset val="129"/>
      </rPr>
      <t>程序</t>
    </r>
    <r>
      <rPr>
        <sz val="10"/>
        <rFont val="Arial"/>
        <family val="2"/>
      </rPr>
      <t xml:space="preserve">, </t>
    </r>
    <r>
      <rPr>
        <sz val="10"/>
        <rFont val="宋体"/>
        <charset val="129"/>
      </rPr>
      <t>用于发那科数控系统</t>
    </r>
    <phoneticPr fontId="4"/>
  </si>
  <si>
    <t>ハイデンハイン用ＣＮＣプログラム</t>
    <phoneticPr fontId="4"/>
  </si>
  <si>
    <r>
      <t xml:space="preserve">Heidenhein </t>
    </r>
    <r>
      <rPr>
        <sz val="9"/>
        <rFont val="細明體"/>
        <family val="3"/>
      </rPr>
      <t>之</t>
    </r>
    <r>
      <rPr>
        <sz val="9"/>
        <rFont val="Verdana"/>
        <family val="2"/>
      </rPr>
      <t xml:space="preserve">CNC </t>
    </r>
    <r>
      <rPr>
        <sz val="9"/>
        <rFont val="細明體"/>
        <family val="3"/>
      </rPr>
      <t>銑牙程式</t>
    </r>
    <phoneticPr fontId="4"/>
  </si>
  <si>
    <r>
      <t>CNC</t>
    </r>
    <r>
      <rPr>
        <sz val="10"/>
        <rFont val="宋体"/>
        <charset val="129"/>
      </rPr>
      <t>程序</t>
    </r>
    <r>
      <rPr>
        <sz val="10"/>
        <rFont val="Arial"/>
        <family val="2"/>
      </rPr>
      <t xml:space="preserve">, </t>
    </r>
    <r>
      <rPr>
        <sz val="10"/>
        <rFont val="宋体"/>
        <charset val="129"/>
      </rPr>
      <t>用于海德汉数控系统</t>
    </r>
    <phoneticPr fontId="4"/>
  </si>
  <si>
    <t>シーメンス用ＣＮＣプログラム</t>
    <phoneticPr fontId="4"/>
  </si>
  <si>
    <r>
      <t xml:space="preserve">Siemens </t>
    </r>
    <r>
      <rPr>
        <sz val="9"/>
        <rFont val="細明體"/>
        <family val="3"/>
      </rPr>
      <t>之</t>
    </r>
    <r>
      <rPr>
        <sz val="9"/>
        <rFont val="Verdana"/>
        <family val="2"/>
      </rPr>
      <t xml:space="preserve">CNC </t>
    </r>
    <r>
      <rPr>
        <sz val="9"/>
        <rFont val="細明體"/>
        <family val="3"/>
      </rPr>
      <t>銑牙程式</t>
    </r>
    <phoneticPr fontId="4"/>
  </si>
  <si>
    <r>
      <t>CNC</t>
    </r>
    <r>
      <rPr>
        <sz val="10"/>
        <rFont val="宋体"/>
        <charset val="129"/>
      </rPr>
      <t>程序</t>
    </r>
    <r>
      <rPr>
        <sz val="10"/>
        <rFont val="Arial"/>
        <family val="2"/>
      </rPr>
      <t xml:space="preserve">, </t>
    </r>
    <r>
      <rPr>
        <sz val="10"/>
        <rFont val="宋体"/>
        <charset val="129"/>
      </rPr>
      <t>用于西门子数控系统</t>
    </r>
    <phoneticPr fontId="4"/>
  </si>
  <si>
    <t>Num用ＣＮＣプログラム</t>
    <phoneticPr fontId="4"/>
  </si>
  <si>
    <r>
      <t xml:space="preserve">Num </t>
    </r>
    <r>
      <rPr>
        <sz val="9"/>
        <rFont val="細明體"/>
        <family val="3"/>
      </rPr>
      <t>之</t>
    </r>
    <r>
      <rPr>
        <sz val="9"/>
        <rFont val="Verdana"/>
        <family val="2"/>
      </rPr>
      <t xml:space="preserve">CNC </t>
    </r>
    <r>
      <rPr>
        <sz val="9"/>
        <rFont val="細明體"/>
        <family val="3"/>
      </rPr>
      <t>銑牙程式</t>
    </r>
    <phoneticPr fontId="4"/>
  </si>
  <si>
    <r>
      <t>CNC</t>
    </r>
    <r>
      <rPr>
        <sz val="10"/>
        <rFont val="宋体"/>
        <charset val="129"/>
      </rPr>
      <t>程序</t>
    </r>
    <r>
      <rPr>
        <sz val="10"/>
        <rFont val="Arial"/>
        <family val="2"/>
      </rPr>
      <t xml:space="preserve">,  </t>
    </r>
    <r>
      <rPr>
        <sz val="10"/>
        <rFont val="宋体"/>
        <charset val="129"/>
      </rPr>
      <t>用于</t>
    </r>
    <r>
      <rPr>
        <sz val="10"/>
        <rFont val="Arial"/>
        <family val="2"/>
      </rPr>
      <t>NUM</t>
    </r>
    <r>
      <rPr>
        <sz val="10"/>
        <rFont val="宋体"/>
        <charset val="129"/>
      </rPr>
      <t>数控系统</t>
    </r>
    <phoneticPr fontId="4"/>
  </si>
  <si>
    <t>Fagor用プログラム</t>
    <phoneticPr fontId="4"/>
  </si>
  <si>
    <r>
      <t xml:space="preserve">Fagor </t>
    </r>
    <r>
      <rPr>
        <sz val="9"/>
        <rFont val="細明體"/>
        <family val="3"/>
      </rPr>
      <t>之</t>
    </r>
    <r>
      <rPr>
        <sz val="9"/>
        <rFont val="Verdana"/>
        <family val="2"/>
      </rPr>
      <t xml:space="preserve">CNC </t>
    </r>
    <r>
      <rPr>
        <sz val="9"/>
        <rFont val="細明體"/>
        <family val="3"/>
      </rPr>
      <t>銑牙程式</t>
    </r>
    <phoneticPr fontId="4"/>
  </si>
  <si>
    <r>
      <t>CNC</t>
    </r>
    <r>
      <rPr>
        <sz val="10"/>
        <rFont val="宋体"/>
        <charset val="129"/>
      </rPr>
      <t>程序</t>
    </r>
    <r>
      <rPr>
        <sz val="10"/>
        <rFont val="Arial"/>
        <family val="2"/>
      </rPr>
      <t xml:space="preserve">, </t>
    </r>
    <r>
      <rPr>
        <sz val="10"/>
        <rFont val="宋体"/>
        <charset val="129"/>
      </rPr>
      <t>用于发格数控系统</t>
    </r>
    <phoneticPr fontId="4"/>
  </si>
  <si>
    <t>マザック用プログラム</t>
    <phoneticPr fontId="4"/>
  </si>
  <si>
    <r>
      <t xml:space="preserve">Mazak </t>
    </r>
    <r>
      <rPr>
        <sz val="9"/>
        <rFont val="細明體"/>
        <family val="3"/>
      </rPr>
      <t>之</t>
    </r>
    <r>
      <rPr>
        <sz val="9"/>
        <rFont val="Verdana"/>
        <family val="2"/>
      </rPr>
      <t xml:space="preserve">CNC </t>
    </r>
    <r>
      <rPr>
        <sz val="9"/>
        <rFont val="細明體"/>
        <family val="3"/>
      </rPr>
      <t>銑牙程式</t>
    </r>
    <phoneticPr fontId="4"/>
  </si>
  <si>
    <r>
      <t>CNC</t>
    </r>
    <r>
      <rPr>
        <sz val="10"/>
        <rFont val="宋体"/>
        <charset val="129"/>
      </rPr>
      <t>程序</t>
    </r>
    <r>
      <rPr>
        <sz val="10"/>
        <rFont val="Arial"/>
        <family val="2"/>
      </rPr>
      <t xml:space="preserve">, </t>
    </r>
    <r>
      <rPr>
        <sz val="10"/>
        <rFont val="宋体"/>
        <charset val="129"/>
      </rPr>
      <t>用于马扎克数控系统</t>
    </r>
    <phoneticPr fontId="4"/>
  </si>
  <si>
    <t>三菱用プログラム</t>
    <phoneticPr fontId="4"/>
  </si>
  <si>
    <r>
      <t xml:space="preserve">Mitsubishi </t>
    </r>
    <r>
      <rPr>
        <sz val="9"/>
        <rFont val="細明體"/>
        <family val="3"/>
      </rPr>
      <t>之</t>
    </r>
    <r>
      <rPr>
        <sz val="9"/>
        <rFont val="Verdana"/>
        <family val="2"/>
      </rPr>
      <t xml:space="preserve">CNC </t>
    </r>
    <r>
      <rPr>
        <sz val="9"/>
        <rFont val="細明體"/>
        <family val="3"/>
      </rPr>
      <t>銑牙程式</t>
    </r>
    <phoneticPr fontId="4"/>
  </si>
  <si>
    <r>
      <t>CNC</t>
    </r>
    <r>
      <rPr>
        <sz val="10"/>
        <rFont val="宋体"/>
        <charset val="129"/>
      </rPr>
      <t>程序</t>
    </r>
    <r>
      <rPr>
        <sz val="10"/>
        <rFont val="Arial"/>
        <family val="2"/>
      </rPr>
      <t xml:space="preserve">, </t>
    </r>
    <r>
      <rPr>
        <sz val="10"/>
        <rFont val="宋体"/>
        <charset val="129"/>
      </rPr>
      <t>用于三菱数控系统</t>
    </r>
    <phoneticPr fontId="4"/>
  </si>
  <si>
    <t>ねじ切り</t>
    <phoneticPr fontId="4"/>
  </si>
  <si>
    <t>銑牙刀</t>
    <phoneticPr fontId="4"/>
  </si>
  <si>
    <t>螺纹铣削加工</t>
    <phoneticPr fontId="4"/>
  </si>
  <si>
    <t>ご使用前によくお読み下さい！</t>
    <phoneticPr fontId="4"/>
  </si>
  <si>
    <t>使用前請先閱讀</t>
    <phoneticPr fontId="4"/>
  </si>
  <si>
    <r>
      <t>请在使用前阅读</t>
    </r>
    <r>
      <rPr>
        <sz val="10"/>
        <rFont val="Arial"/>
        <family val="2"/>
      </rPr>
      <t>!</t>
    </r>
    <phoneticPr fontId="4"/>
  </si>
  <si>
    <t>Programing of Thread Milling</t>
    <phoneticPr fontId="4"/>
  </si>
  <si>
    <t>11, 1 pass Sinumeric 840D</t>
    <phoneticPr fontId="4"/>
  </si>
  <si>
    <t>D10</t>
    <phoneticPr fontId="4"/>
  </si>
  <si>
    <t xml:space="preserve"> Z</t>
    <phoneticPr fontId="4"/>
  </si>
  <si>
    <t xml:space="preserve"> M3</t>
    <phoneticPr fontId="4"/>
  </si>
  <si>
    <t xml:space="preserve"> CR=</t>
    <phoneticPr fontId="4"/>
  </si>
  <si>
    <t>11, 1 pass Siemens 810M V3</t>
    <phoneticPr fontId="4"/>
  </si>
  <si>
    <t xml:space="preserve"> U</t>
    <phoneticPr fontId="4"/>
  </si>
  <si>
    <t>21, 2 pass Sinumeric 840D</t>
    <phoneticPr fontId="4"/>
  </si>
  <si>
    <t>21, 2 pass Siemens 810M V3</t>
    <phoneticPr fontId="4"/>
  </si>
  <si>
    <t>10011, 1 pass, Taper, Sinumeric 840D</t>
    <phoneticPr fontId="4"/>
  </si>
  <si>
    <t>10011, 1 pass, Taper, Siemens 810M V3</t>
    <phoneticPr fontId="4"/>
  </si>
  <si>
    <t>10021, 2 pass, Taper, Siemens 810M V3</t>
    <phoneticPr fontId="4"/>
  </si>
  <si>
    <t>10021, 2 pass, Taper, Sinumeric 840D</t>
    <phoneticPr fontId="4"/>
  </si>
  <si>
    <t>100011, 1, 2 pass, Chamfering, Sinumeric 840D</t>
    <phoneticPr fontId="4"/>
  </si>
  <si>
    <t>110011, 1, 2 pass, Taper, Chamfering, Sinumeric 840D</t>
    <phoneticPr fontId="4"/>
  </si>
  <si>
    <t>100011, 1, 2 pass, Chamfering, Siemens 810M V3</t>
    <phoneticPr fontId="4"/>
  </si>
  <si>
    <t>110011, 1, 2 pass, Taper, Chamfering, Siemens 810M V3</t>
    <phoneticPr fontId="4"/>
  </si>
  <si>
    <t>200011, 1, 2 pass, Drilling+Chamfering, Sinumeric 840D</t>
    <phoneticPr fontId="4"/>
  </si>
  <si>
    <t>200011, 1, 2 pass, Drilling+Chamfering, Siemens 810M V3</t>
    <phoneticPr fontId="4"/>
  </si>
  <si>
    <t xml:space="preserve"> Y0.</t>
    <phoneticPr fontId="4"/>
  </si>
  <si>
    <t xml:space="preserve"> F</t>
    <phoneticPr fontId="4"/>
  </si>
  <si>
    <t xml:space="preserve"> X</t>
    <phoneticPr fontId="4"/>
  </si>
  <si>
    <r>
      <t>1021, 2 pass, 3</t>
    </r>
    <r>
      <rPr>
        <b/>
        <u/>
        <sz val="10"/>
        <rFont val="돋움"/>
        <family val="3"/>
        <charset val="129"/>
      </rPr>
      <t>산제품</t>
    </r>
    <r>
      <rPr>
        <b/>
        <u/>
        <sz val="10"/>
        <rFont val="Verdana"/>
        <family val="2"/>
      </rPr>
      <t>, Sinumeric 840D</t>
    </r>
    <phoneticPr fontId="4"/>
  </si>
  <si>
    <r>
      <t>1021, 2 pass, 3</t>
    </r>
    <r>
      <rPr>
        <b/>
        <u/>
        <sz val="10"/>
        <rFont val="돋움"/>
        <family val="3"/>
        <charset val="129"/>
      </rPr>
      <t>산제품</t>
    </r>
    <r>
      <rPr>
        <b/>
        <u/>
        <sz val="10"/>
        <rFont val="Verdana"/>
        <family val="2"/>
      </rPr>
      <t>, Siemens 810M V3</t>
    </r>
    <phoneticPr fontId="4"/>
  </si>
  <si>
    <r>
      <t>3111, 1 pass, 2</t>
    </r>
    <r>
      <rPr>
        <b/>
        <u/>
        <sz val="10"/>
        <rFont val="돋움"/>
        <family val="3"/>
        <charset val="129"/>
      </rPr>
      <t>산제품</t>
    </r>
    <r>
      <rPr>
        <b/>
        <u/>
        <sz val="10"/>
        <rFont val="Verdana"/>
        <family val="2"/>
      </rPr>
      <t>(LEFT CUT), Sinumeric 840D</t>
    </r>
    <phoneticPr fontId="4"/>
  </si>
  <si>
    <r>
      <t>3121, 2 pass, 2</t>
    </r>
    <r>
      <rPr>
        <b/>
        <u/>
        <sz val="10"/>
        <rFont val="돋움"/>
        <family val="3"/>
        <charset val="129"/>
      </rPr>
      <t>산제품</t>
    </r>
    <r>
      <rPr>
        <b/>
        <u/>
        <sz val="10"/>
        <rFont val="Verdana"/>
        <family val="2"/>
      </rPr>
      <t>(LEFT CUT), Sinumeric 840D</t>
    </r>
    <phoneticPr fontId="4"/>
  </si>
  <si>
    <t>Fanuc</t>
    <phoneticPr fontId="4"/>
  </si>
  <si>
    <t>Sinumeric 840D</t>
    <phoneticPr fontId="4"/>
  </si>
  <si>
    <t>Siemens 810M</t>
    <phoneticPr fontId="4"/>
  </si>
  <si>
    <t>CNC program for Sinumeric 840D</t>
    <phoneticPr fontId="4"/>
  </si>
  <si>
    <t>CNC program for Siemens 810M</t>
    <phoneticPr fontId="4"/>
  </si>
  <si>
    <r>
      <rPr>
        <sz val="9"/>
        <rFont val="Verdana"/>
        <family val="2"/>
      </rPr>
      <t>Fanuc</t>
    </r>
    <r>
      <rPr>
        <sz val="9"/>
        <rFont val="돋움"/>
        <family val="3"/>
      </rPr>
      <t>용</t>
    </r>
    <r>
      <rPr>
        <sz val="9"/>
        <rFont val="Verdana"/>
        <family val="2"/>
      </rPr>
      <t xml:space="preserve"> CNC </t>
    </r>
    <r>
      <rPr>
        <sz val="9"/>
        <rFont val="돋움"/>
        <family val="3"/>
      </rPr>
      <t>프로그램</t>
    </r>
    <phoneticPr fontId="4"/>
  </si>
  <si>
    <t>Sinumeric 840D용 CNC 프로그램</t>
    <phoneticPr fontId="4"/>
  </si>
  <si>
    <r>
      <t>Siemens 810M용</t>
    </r>
    <r>
      <rPr>
        <sz val="9"/>
        <rFont val="Verdana"/>
        <family val="2"/>
      </rPr>
      <t xml:space="preserve"> CNC </t>
    </r>
    <r>
      <rPr>
        <sz val="9"/>
        <rFont val="돋움"/>
        <family val="3"/>
      </rPr>
      <t>프로그램</t>
    </r>
    <phoneticPr fontId="4"/>
  </si>
  <si>
    <t xml:space="preserve">YG-1의 쓰레드 밀에서 피치 직경은 광학적으로 측정되었고, 이론상의 외부 직경은 각각의 공구에 레이져 마킹 되어 있습니다.                                                                       이 측정값은 공구 직경 옆의 사각형 칸에 기록되어야 한다.                                         당신은 아마도 올바른 나사를 바로 얻을 것입니다.                                                         조정할 필요가 있을 경우, 같은 사각형 칸에서 또는 콘트롤 시스템의 툴링 라이브러리에서 수정 할 수 있습니다.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</si>
</sst>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0.000"/>
    <numFmt numFmtId="165" formatCode="0.0"/>
    <numFmt numFmtId="166" formatCode="0.00_);[Red]\(0.00\)"/>
    <numFmt numFmtId="167" formatCode="0.0_);[Red]\(0.0\)"/>
    <numFmt numFmtId="168" formatCode="0_ "/>
    <numFmt numFmtId="169" formatCode="0.00_ "/>
    <numFmt numFmtId="170" formatCode="0.000_);[Red]\(0.000\)"/>
    <numFmt numFmtId="171" formatCode="0.000_ "/>
    <numFmt numFmtId="172" formatCode="#,##0_ "/>
    <numFmt numFmtId="173" formatCode="0_);[Red]\(0\)"/>
    <numFmt numFmtId="174" formatCode="0.0000_);[Red]\(0.0000\)"/>
    <numFmt numFmtId="175" formatCode="0.000;_鰀"/>
    <numFmt numFmtId="176" formatCode="#,##0.000_ "/>
    <numFmt numFmtId="177" formatCode="0.0000"/>
    <numFmt numFmtId="178" formatCode="0.00000"/>
    <numFmt numFmtId="179" formatCode="0.0000_ "/>
    <numFmt numFmtId="180" formatCode="0.00000_ "/>
    <numFmt numFmtId="181" formatCode="#,##0.0"/>
  </numFmts>
  <fonts count="63">
    <font>
      <sz val="10"/>
      <name val="Verdana"/>
      <family val="2"/>
    </font>
    <font>
      <b/>
      <sz val="10"/>
      <name val="Verdana"/>
      <family val="2"/>
    </font>
    <font>
      <sz val="10"/>
      <name val="Verdana"/>
      <family val="2"/>
    </font>
    <font>
      <u/>
      <sz val="10"/>
      <color indexed="12"/>
      <name val="Verdana"/>
      <family val="2"/>
    </font>
    <font>
      <sz val="8"/>
      <name val="Verdana"/>
      <family val="2"/>
    </font>
    <font>
      <sz val="9"/>
      <name val="Verdana"/>
      <family val="2"/>
    </font>
    <font>
      <b/>
      <u/>
      <sz val="10"/>
      <name val="Verdana"/>
      <family val="2"/>
    </font>
    <font>
      <b/>
      <sz val="9"/>
      <name val="Verdana"/>
      <family val="2"/>
    </font>
    <font>
      <b/>
      <sz val="9"/>
      <color indexed="10"/>
      <name val="Verdana"/>
      <family val="2"/>
    </font>
    <font>
      <sz val="7"/>
      <name val="Verdana"/>
      <family val="2"/>
    </font>
    <font>
      <b/>
      <sz val="11"/>
      <name val="Verdana"/>
      <family val="2"/>
    </font>
    <font>
      <sz val="9"/>
      <name val="Arial"/>
      <family val="2"/>
    </font>
    <font>
      <sz val="9"/>
      <name val="細明體"/>
      <family val="3"/>
    </font>
    <font>
      <sz val="9"/>
      <name val="돋움"/>
      <family val="3"/>
    </font>
    <font>
      <b/>
      <sz val="11"/>
      <name val="돋움"/>
      <family val="3"/>
    </font>
    <font>
      <sz val="9"/>
      <name val="ＭＳ Ｐゴシック"/>
      <family val="2"/>
      <charset val="128"/>
    </font>
    <font>
      <b/>
      <sz val="9"/>
      <name val="ＭＳ Ｐゴシック"/>
      <family val="2"/>
      <charset val="128"/>
    </font>
    <font>
      <sz val="10"/>
      <name val="宋体"/>
      <family val="3"/>
      <charset val="129"/>
    </font>
    <font>
      <sz val="10"/>
      <name val="Arial"/>
      <family val="2"/>
    </font>
    <font>
      <sz val="10"/>
      <color indexed="8"/>
      <name val="宋体"/>
      <charset val="129"/>
    </font>
    <font>
      <sz val="10"/>
      <color indexed="8"/>
      <name val="Arial"/>
      <family val="2"/>
    </font>
    <font>
      <sz val="9"/>
      <name val="宋体"/>
      <charset val="129"/>
    </font>
    <font>
      <b/>
      <sz val="9"/>
      <name val="宋体"/>
      <charset val="129"/>
    </font>
    <font>
      <b/>
      <sz val="22"/>
      <color indexed="18"/>
      <name val="Verdana"/>
      <family val="2"/>
    </font>
    <font>
      <sz val="9"/>
      <color indexed="14"/>
      <name val="Verdana"/>
      <family val="2"/>
    </font>
    <font>
      <sz val="9"/>
      <name val="돋움"/>
      <family val="3"/>
      <charset val="129"/>
    </font>
    <font>
      <b/>
      <sz val="9"/>
      <name val="돋움"/>
      <family val="3"/>
      <charset val="129"/>
    </font>
    <font>
      <sz val="10"/>
      <name val="돋움"/>
      <family val="3"/>
      <charset val="129"/>
    </font>
    <font>
      <sz val="8"/>
      <name val="돋움"/>
      <family val="3"/>
      <charset val="129"/>
    </font>
    <font>
      <b/>
      <sz val="10"/>
      <name val="돋움"/>
      <family val="3"/>
      <charset val="129"/>
    </font>
    <font>
      <b/>
      <u/>
      <sz val="10"/>
      <color indexed="14"/>
      <name val="Verdana"/>
      <family val="2"/>
    </font>
    <font>
      <b/>
      <u/>
      <sz val="11"/>
      <color indexed="14"/>
      <name val="Verdana"/>
      <family val="2"/>
    </font>
    <font>
      <b/>
      <sz val="10"/>
      <color indexed="12"/>
      <name val="Verdana"/>
      <family val="2"/>
    </font>
    <font>
      <sz val="9"/>
      <color indexed="45"/>
      <name val="Verdana"/>
      <family val="2"/>
    </font>
    <font>
      <sz val="10"/>
      <color indexed="45"/>
      <name val="Verdana"/>
      <family val="2"/>
    </font>
    <font>
      <sz val="10"/>
      <color indexed="10"/>
      <name val="Verdana"/>
      <family val="2"/>
    </font>
    <font>
      <b/>
      <sz val="12"/>
      <color indexed="10"/>
      <name val="Verdana"/>
      <family val="2"/>
    </font>
    <font>
      <sz val="9"/>
      <color indexed="10"/>
      <name val="Verdana"/>
      <family val="2"/>
    </font>
    <font>
      <b/>
      <sz val="9"/>
      <color indexed="10"/>
      <name val="돋움"/>
      <family val="3"/>
      <charset val="129"/>
    </font>
    <font>
      <sz val="9"/>
      <color indexed="12"/>
      <name val="Verdana"/>
      <family val="2"/>
    </font>
    <font>
      <b/>
      <sz val="9"/>
      <color indexed="12"/>
      <name val="Verdana"/>
      <family val="2"/>
    </font>
    <font>
      <sz val="10"/>
      <color indexed="12"/>
      <name val="Verdana"/>
      <family val="2"/>
    </font>
    <font>
      <b/>
      <sz val="9"/>
      <color indexed="14"/>
      <name val="Verdana"/>
      <family val="2"/>
    </font>
    <font>
      <sz val="10"/>
      <color indexed="14"/>
      <name val="Verdana"/>
      <family val="2"/>
    </font>
    <font>
      <sz val="10"/>
      <color indexed="10"/>
      <name val="돋움"/>
      <family val="3"/>
      <charset val="129"/>
    </font>
    <font>
      <b/>
      <sz val="20"/>
      <name val="Verdana"/>
      <family val="2"/>
    </font>
    <font>
      <sz val="10"/>
      <color indexed="63"/>
      <name val="Arial"/>
      <family val="2"/>
    </font>
    <font>
      <sz val="9"/>
      <color indexed="81"/>
      <name val="Tahoma"/>
      <family val="2"/>
    </font>
    <font>
      <b/>
      <sz val="9"/>
      <color indexed="81"/>
      <name val="Tahoma"/>
      <family val="2"/>
    </font>
    <font>
      <b/>
      <sz val="9"/>
      <color indexed="81"/>
      <name val="돋움"/>
      <family val="3"/>
      <charset val="129"/>
    </font>
    <font>
      <sz val="9"/>
      <color indexed="81"/>
      <name val="돋움"/>
      <family val="3"/>
      <charset val="129"/>
    </font>
    <font>
      <sz val="10"/>
      <name val="돋움"/>
      <family val="3"/>
    </font>
    <font>
      <b/>
      <sz val="10"/>
      <name val="돋움"/>
      <family val="3"/>
    </font>
    <font>
      <b/>
      <u/>
      <sz val="10"/>
      <name val="돋움"/>
      <family val="3"/>
      <charset val="129"/>
    </font>
    <font>
      <b/>
      <u/>
      <sz val="10"/>
      <color rgb="FFFF0000"/>
      <name val="Verdana"/>
      <family val="2"/>
    </font>
    <font>
      <b/>
      <sz val="10"/>
      <color rgb="FFFF0000"/>
      <name val="돋움"/>
      <family val="3"/>
    </font>
    <font>
      <b/>
      <u/>
      <sz val="12"/>
      <color rgb="FFFF0000"/>
      <name val="Verdana"/>
      <family val="2"/>
    </font>
    <font>
      <sz val="10"/>
      <color rgb="FFFF0000"/>
      <name val="Verdana"/>
      <family val="2"/>
    </font>
    <font>
      <sz val="9"/>
      <color rgb="FFFF0000"/>
      <name val="Verdana"/>
      <family val="2"/>
    </font>
    <font>
      <b/>
      <sz val="9"/>
      <color rgb="FFFF0000"/>
      <name val="Verdana"/>
      <family val="2"/>
    </font>
    <font>
      <sz val="10"/>
      <name val="宋体"/>
      <charset val="129"/>
    </font>
    <font>
      <sz val="9"/>
      <color theme="9" tint="-0.249977111117893"/>
      <name val="Verdana"/>
      <family val="2"/>
    </font>
    <font>
      <sz val="10"/>
      <color theme="9" tint="-0.249977111117893"/>
      <name val="Verdana"/>
      <family val="2"/>
    </font>
  </fonts>
  <fills count="12">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5"/>
        <bgColor indexed="64"/>
      </patternFill>
    </fill>
    <fill>
      <patternFill patternType="solid">
        <fgColor indexed="47"/>
        <bgColor indexed="64"/>
      </patternFill>
    </fill>
    <fill>
      <patternFill patternType="solid">
        <fgColor indexed="51"/>
        <bgColor indexed="64"/>
      </patternFill>
    </fill>
    <fill>
      <patternFill patternType="solid">
        <fgColor indexed="44"/>
        <bgColor indexed="64"/>
      </patternFill>
    </fill>
    <fill>
      <patternFill patternType="solid">
        <fgColor indexed="42"/>
        <bgColor indexed="64"/>
      </patternFill>
    </fill>
    <fill>
      <patternFill patternType="solid">
        <fgColor rgb="FFFFFF00"/>
        <bgColor indexed="64"/>
      </patternFill>
    </fill>
    <fill>
      <patternFill patternType="solid">
        <fgColor rgb="FFFFFF99"/>
        <bgColor indexed="64"/>
      </patternFill>
    </fill>
    <fill>
      <patternFill patternType="solid">
        <fgColor rgb="FFFBCBA3"/>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diagonalUp="1">
      <left/>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0" fontId="2" fillId="0" borderId="0"/>
    <xf numFmtId="0" fontId="3" fillId="0" borderId="0" applyNumberFormat="0" applyFill="0" applyBorder="0" applyAlignment="0" applyProtection="0">
      <alignment vertical="top"/>
      <protection locked="0"/>
    </xf>
  </cellStyleXfs>
  <cellXfs count="442">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horizontal="left"/>
    </xf>
    <xf numFmtId="0" fontId="0" fillId="0" borderId="0" xfId="0" applyAlignment="1">
      <alignment horizontal="left"/>
    </xf>
    <xf numFmtId="0" fontId="5" fillId="0" borderId="0" xfId="0" applyFont="1"/>
    <xf numFmtId="1" fontId="5" fillId="0" borderId="0" xfId="0" applyNumberFormat="1" applyFont="1" applyAlignment="1">
      <alignment horizontal="center"/>
    </xf>
    <xf numFmtId="2" fontId="7" fillId="0" borderId="0" xfId="0" applyNumberFormat="1" applyFont="1" applyAlignment="1">
      <alignment horizontal="center"/>
    </xf>
    <xf numFmtId="0" fontId="7" fillId="0" borderId="0" xfId="0" applyFont="1" applyAlignment="1">
      <alignment horizontal="center"/>
    </xf>
    <xf numFmtId="2" fontId="5" fillId="0" borderId="0" xfId="0" applyNumberFormat="1" applyFont="1" applyAlignment="1">
      <alignment horizontal="center"/>
    </xf>
    <xf numFmtId="164" fontId="5" fillId="0" borderId="0" xfId="0" applyNumberFormat="1" applyFont="1" applyAlignment="1">
      <alignment horizontal="center"/>
    </xf>
    <xf numFmtId="165" fontId="7" fillId="0" borderId="0" xfId="0" applyNumberFormat="1" applyFont="1" applyAlignment="1">
      <alignment horizontal="center"/>
    </xf>
    <xf numFmtId="1" fontId="7" fillId="0" borderId="0" xfId="0" applyNumberFormat="1" applyFont="1" applyAlignment="1">
      <alignment horizontal="center"/>
    </xf>
    <xf numFmtId="164" fontId="7" fillId="0" borderId="0" xfId="0" applyNumberFormat="1" applyFont="1" applyAlignment="1">
      <alignment horizontal="center"/>
    </xf>
    <xf numFmtId="0" fontId="5" fillId="0" borderId="0" xfId="0" applyFont="1" applyAlignment="1">
      <alignment horizontal="center"/>
    </xf>
    <xf numFmtId="0" fontId="5" fillId="2" borderId="0" xfId="0" applyFont="1" applyFill="1" applyAlignment="1">
      <alignment horizontal="center"/>
    </xf>
    <xf numFmtId="0" fontId="0" fillId="0" borderId="0" xfId="0" applyAlignment="1">
      <alignment horizontal="center"/>
    </xf>
    <xf numFmtId="0" fontId="0" fillId="3" borderId="0" xfId="0" applyFill="1" applyAlignment="1">
      <alignment horizontal="center"/>
    </xf>
    <xf numFmtId="2" fontId="0" fillId="0" borderId="0" xfId="0" applyNumberFormat="1" applyAlignment="1">
      <alignment horizontal="center"/>
    </xf>
    <xf numFmtId="165" fontId="0" fillId="0" borderId="0" xfId="0" applyNumberFormat="1" applyAlignment="1">
      <alignment horizontal="center"/>
    </xf>
    <xf numFmtId="164" fontId="0" fillId="0" borderId="0" xfId="0" applyNumberFormat="1" applyAlignment="1">
      <alignment horizontal="center"/>
    </xf>
    <xf numFmtId="0" fontId="1" fillId="0" borderId="0" xfId="0" applyFont="1" applyAlignment="1">
      <alignment horizontal="center"/>
    </xf>
    <xf numFmtId="0" fontId="6" fillId="0" borderId="0" xfId="0" applyFont="1"/>
    <xf numFmtId="0" fontId="5" fillId="0" borderId="0" xfId="0" applyFont="1" applyAlignment="1">
      <alignment horizontal="left"/>
    </xf>
    <xf numFmtId="0" fontId="0" fillId="2" borderId="0" xfId="0" applyFill="1"/>
    <xf numFmtId="0" fontId="0" fillId="2" borderId="0" xfId="0" applyFill="1" applyAlignment="1">
      <alignment horizontal="center"/>
    </xf>
    <xf numFmtId="0" fontId="7" fillId="2" borderId="0" xfId="0" applyFont="1" applyFill="1" applyAlignment="1">
      <alignment horizontal="center"/>
    </xf>
    <xf numFmtId="0" fontId="5" fillId="2" borderId="0" xfId="0" applyFont="1" applyFill="1"/>
    <xf numFmtId="0" fontId="10" fillId="2" borderId="0" xfId="0" applyFont="1" applyFill="1" applyAlignment="1">
      <alignment wrapText="1"/>
    </xf>
    <xf numFmtId="0" fontId="5" fillId="2" borderId="0" xfId="0" applyFont="1" applyFill="1" applyAlignment="1">
      <alignment vertical="top" wrapText="1"/>
    </xf>
    <xf numFmtId="0" fontId="5" fillId="2" borderId="0" xfId="0" applyFont="1" applyFill="1" applyAlignment="1">
      <alignment wrapText="1"/>
    </xf>
    <xf numFmtId="0" fontId="10" fillId="0" borderId="0" xfId="0" applyFont="1" applyAlignment="1">
      <alignment wrapText="1"/>
    </xf>
    <xf numFmtId="0" fontId="5" fillId="0" borderId="0" xfId="0" applyFont="1" applyAlignment="1">
      <alignment vertical="top" wrapText="1"/>
    </xf>
    <xf numFmtId="0" fontId="5" fillId="0" borderId="0" xfId="0" applyFont="1" applyAlignment="1">
      <alignment wrapText="1"/>
    </xf>
    <xf numFmtId="2" fontId="1" fillId="0" borderId="0" xfId="0" applyNumberFormat="1" applyFont="1" applyAlignment="1">
      <alignment horizontal="right"/>
    </xf>
    <xf numFmtId="2" fontId="0" fillId="0" borderId="0" xfId="0" applyNumberFormat="1"/>
    <xf numFmtId="0" fontId="0" fillId="4" borderId="0" xfId="0" applyFill="1" applyAlignment="1" applyProtection="1">
      <alignment horizontal="center"/>
      <protection locked="0"/>
    </xf>
    <xf numFmtId="0" fontId="5" fillId="0" borderId="0" xfId="0" applyFont="1" applyAlignment="1">
      <alignment vertical="top"/>
    </xf>
    <xf numFmtId="0" fontId="11" fillId="0" borderId="0" xfId="0" applyFont="1" applyAlignment="1">
      <alignment wrapText="1"/>
    </xf>
    <xf numFmtId="0" fontId="12" fillId="0" borderId="0" xfId="0" applyFont="1"/>
    <xf numFmtId="0" fontId="13" fillId="0" borderId="0" xfId="0" applyFont="1"/>
    <xf numFmtId="0" fontId="14" fillId="0" borderId="0" xfId="0" applyFont="1" applyAlignment="1">
      <alignment vertical="top" wrapText="1"/>
    </xf>
    <xf numFmtId="0" fontId="0" fillId="0" borderId="0" xfId="0" applyAlignment="1">
      <alignment vertical="top" wrapText="1"/>
    </xf>
    <xf numFmtId="0" fontId="15" fillId="0" borderId="0" xfId="0" applyFont="1"/>
    <xf numFmtId="0" fontId="16" fillId="0" borderId="0" xfId="0" applyFont="1" applyAlignment="1">
      <alignment horizontal="center"/>
    </xf>
    <xf numFmtId="0" fontId="17" fillId="0" borderId="0" xfId="0" applyFont="1"/>
    <xf numFmtId="0" fontId="18" fillId="0" borderId="0" xfId="0" applyFont="1"/>
    <xf numFmtId="0" fontId="19" fillId="0" borderId="0" xfId="0" applyFont="1"/>
    <xf numFmtId="0" fontId="22" fillId="0" borderId="0" xfId="0" applyFont="1" applyAlignment="1">
      <alignment horizontal="center"/>
    </xf>
    <xf numFmtId="0" fontId="21" fillId="0" borderId="0" xfId="0" applyFont="1"/>
    <xf numFmtId="0" fontId="13" fillId="0" borderId="0" xfId="0" applyFont="1" applyAlignment="1">
      <alignment vertical="top" wrapText="1"/>
    </xf>
    <xf numFmtId="0" fontId="5" fillId="2" borderId="0" xfId="0" applyFont="1" applyFill="1" applyAlignment="1">
      <alignment vertical="top"/>
    </xf>
    <xf numFmtId="0" fontId="6" fillId="0" borderId="0" xfId="0" applyFont="1" applyAlignment="1">
      <alignment horizontal="left"/>
    </xf>
    <xf numFmtId="0" fontId="2" fillId="0" borderId="0" xfId="0" applyFont="1" applyAlignment="1">
      <alignment horizontal="center"/>
    </xf>
    <xf numFmtId="0" fontId="24" fillId="0" borderId="0" xfId="0" applyFont="1" applyAlignment="1">
      <alignment horizontal="left"/>
    </xf>
    <xf numFmtId="0" fontId="0" fillId="0" borderId="0" xfId="0" applyAlignment="1">
      <alignment horizontal="right" vertical="center"/>
    </xf>
    <xf numFmtId="0" fontId="0" fillId="0" borderId="1" xfId="0" applyBorder="1"/>
    <xf numFmtId="0" fontId="0" fillId="0" borderId="2" xfId="0" applyBorder="1"/>
    <xf numFmtId="0" fontId="0" fillId="0" borderId="3" xfId="0" applyBorder="1"/>
    <xf numFmtId="0" fontId="0" fillId="4" borderId="4" xfId="0" applyFill="1" applyBorder="1" applyAlignment="1" applyProtection="1">
      <alignment horizontal="center"/>
      <protection locked="0"/>
    </xf>
    <xf numFmtId="2" fontId="7" fillId="0" borderId="5" xfId="0" applyNumberFormat="1" applyFont="1" applyBorder="1" applyAlignment="1">
      <alignment horizontal="center"/>
    </xf>
    <xf numFmtId="0" fontId="0" fillId="0" borderId="4" xfId="0" applyBorder="1" applyAlignment="1">
      <alignment horizontal="center"/>
    </xf>
    <xf numFmtId="0" fontId="5" fillId="2" borderId="5" xfId="0" applyFont="1" applyFill="1" applyBorder="1" applyAlignment="1">
      <alignment horizontal="center"/>
    </xf>
    <xf numFmtId="0" fontId="7" fillId="0" borderId="5" xfId="0" applyFont="1" applyBorder="1" applyAlignment="1">
      <alignment horizontal="center"/>
    </xf>
    <xf numFmtId="0" fontId="5" fillId="3" borderId="0" xfId="0" applyFont="1" applyFill="1" applyAlignment="1">
      <alignment horizontal="center"/>
    </xf>
    <xf numFmtId="0" fontId="0" fillId="0" borderId="5" xfId="0" applyBorder="1"/>
    <xf numFmtId="164" fontId="5" fillId="0" borderId="5" xfId="0" applyNumberFormat="1" applyFont="1" applyBorder="1" applyAlignment="1">
      <alignment horizontal="center"/>
    </xf>
    <xf numFmtId="0" fontId="5" fillId="3" borderId="5" xfId="0" applyFont="1" applyFill="1" applyBorder="1" applyAlignment="1">
      <alignment horizontal="center"/>
    </xf>
    <xf numFmtId="164" fontId="5" fillId="3" borderId="5" xfId="0" applyNumberFormat="1" applyFont="1" applyFill="1" applyBorder="1" applyAlignment="1">
      <alignment horizontal="center"/>
    </xf>
    <xf numFmtId="0" fontId="0" fillId="0" borderId="6" xfId="0" applyBorder="1"/>
    <xf numFmtId="0" fontId="0" fillId="0" borderId="7" xfId="0" applyBorder="1"/>
    <xf numFmtId="0" fontId="0" fillId="0" borderId="8" xfId="0" applyBorder="1"/>
    <xf numFmtId="2" fontId="7" fillId="0" borderId="1" xfId="0" applyNumberFormat="1" applyFont="1" applyBorder="1" applyAlignment="1">
      <alignment horizontal="center"/>
    </xf>
    <xf numFmtId="0" fontId="5" fillId="0" borderId="2" xfId="0" applyFont="1" applyBorder="1" applyAlignment="1">
      <alignment horizontal="center"/>
    </xf>
    <xf numFmtId="2" fontId="7" fillId="0" borderId="4" xfId="0" applyNumberFormat="1" applyFont="1" applyBorder="1" applyAlignment="1">
      <alignment horizontal="center"/>
    </xf>
    <xf numFmtId="164" fontId="5" fillId="3" borderId="0" xfId="0" applyNumberFormat="1" applyFont="1" applyFill="1" applyAlignment="1">
      <alignment horizontal="center"/>
    </xf>
    <xf numFmtId="0" fontId="0" fillId="0" borderId="4" xfId="0" applyBorder="1"/>
    <xf numFmtId="0" fontId="7" fillId="0" borderId="4" xfId="0" applyFont="1" applyBorder="1" applyAlignment="1">
      <alignment horizontal="center"/>
    </xf>
    <xf numFmtId="0" fontId="5" fillId="0" borderId="4" xfId="0" applyFont="1" applyBorder="1"/>
    <xf numFmtId="2" fontId="5" fillId="0" borderId="4" xfId="0" applyNumberFormat="1" applyFont="1" applyBorder="1" applyAlignment="1">
      <alignment horizontal="center"/>
    </xf>
    <xf numFmtId="0" fontId="5" fillId="5" borderId="0" xfId="0" applyFont="1" applyFill="1" applyAlignment="1">
      <alignment horizontal="center"/>
    </xf>
    <xf numFmtId="0" fontId="7" fillId="6" borderId="0" xfId="0" applyFont="1" applyFill="1" applyAlignment="1">
      <alignment horizontal="center"/>
    </xf>
    <xf numFmtId="0" fontId="5" fillId="6" borderId="0" xfId="0" applyFont="1" applyFill="1" applyAlignment="1">
      <alignment horizontal="center"/>
    </xf>
    <xf numFmtId="0" fontId="26" fillId="0" borderId="0" xfId="0" applyFont="1" applyAlignment="1">
      <alignment horizontal="center"/>
    </xf>
    <xf numFmtId="14" fontId="0" fillId="0" borderId="0" xfId="0" applyNumberFormat="1" applyAlignment="1">
      <alignment horizontal="left"/>
    </xf>
    <xf numFmtId="0" fontId="29" fillId="0" borderId="0" xfId="0" applyFont="1" applyAlignment="1">
      <alignment horizontal="center"/>
    </xf>
    <xf numFmtId="0" fontId="27" fillId="0" borderId="0" xfId="0" applyFont="1"/>
    <xf numFmtId="0" fontId="5" fillId="2" borderId="0" xfId="0" applyFont="1" applyFill="1" applyProtection="1">
      <protection hidden="1"/>
    </xf>
    <xf numFmtId="0" fontId="5" fillId="2" borderId="0" xfId="3" applyFont="1" applyFill="1" applyAlignment="1" applyProtection="1">
      <protection hidden="1"/>
    </xf>
    <xf numFmtId="0" fontId="2" fillId="5" borderId="0" xfId="0" applyFont="1" applyFill="1" applyProtection="1">
      <protection hidden="1"/>
    </xf>
    <xf numFmtId="0" fontId="5" fillId="5" borderId="0" xfId="0" applyFont="1" applyFill="1" applyProtection="1">
      <protection hidden="1"/>
    </xf>
    <xf numFmtId="0" fontId="8" fillId="5" borderId="0" xfId="0" applyFont="1" applyFill="1" applyAlignment="1" applyProtection="1">
      <alignment horizontal="center"/>
      <protection hidden="1"/>
    </xf>
    <xf numFmtId="0" fontId="9" fillId="5" borderId="0" xfId="0" applyFont="1" applyFill="1" applyAlignment="1" applyProtection="1">
      <alignment horizontal="left"/>
      <protection hidden="1"/>
    </xf>
    <xf numFmtId="1" fontId="8" fillId="5" borderId="0" xfId="0" applyNumberFormat="1" applyFont="1" applyFill="1" applyAlignment="1" applyProtection="1">
      <alignment horizontal="center"/>
      <protection hidden="1"/>
    </xf>
    <xf numFmtId="0" fontId="5" fillId="0" borderId="0" xfId="0" applyFont="1" applyProtection="1">
      <protection hidden="1"/>
    </xf>
    <xf numFmtId="0" fontId="31" fillId="2" borderId="0" xfId="0" applyFont="1" applyFill="1" applyProtection="1">
      <protection hidden="1"/>
    </xf>
    <xf numFmtId="0" fontId="7" fillId="5" borderId="0" xfId="0" applyFont="1" applyFill="1" applyAlignment="1" applyProtection="1">
      <alignment horizontal="right"/>
      <protection hidden="1"/>
    </xf>
    <xf numFmtId="3" fontId="5" fillId="0" borderId="0" xfId="0" applyNumberFormat="1" applyFont="1" applyAlignment="1">
      <alignment horizontal="center"/>
    </xf>
    <xf numFmtId="165" fontId="5" fillId="0" borderId="0" xfId="0" applyNumberFormat="1" applyFont="1" applyAlignment="1">
      <alignment horizontal="center"/>
    </xf>
    <xf numFmtId="0" fontId="32" fillId="2" borderId="9" xfId="0" applyFont="1" applyFill="1" applyBorder="1"/>
    <xf numFmtId="0" fontId="0" fillId="2" borderId="9" xfId="0" applyFill="1" applyBorder="1" applyAlignment="1">
      <alignment horizontal="center"/>
    </xf>
    <xf numFmtId="164" fontId="33" fillId="0" borderId="0" xfId="0" applyNumberFormat="1" applyFont="1" applyAlignment="1">
      <alignment horizontal="center"/>
    </xf>
    <xf numFmtId="0" fontId="34" fillId="0" borderId="0" xfId="0" applyFont="1" applyAlignment="1">
      <alignment horizontal="center"/>
    </xf>
    <xf numFmtId="0" fontId="33" fillId="0" borderId="0" xfId="0" applyFont="1" applyAlignment="1">
      <alignment horizontal="center"/>
    </xf>
    <xf numFmtId="0" fontId="34" fillId="0" borderId="0" xfId="0" applyFont="1"/>
    <xf numFmtId="0" fontId="1" fillId="2" borderId="0" xfId="0" applyFont="1" applyFill="1" applyAlignment="1">
      <alignment horizontal="center"/>
    </xf>
    <xf numFmtId="164" fontId="35" fillId="2" borderId="9" xfId="0" applyNumberFormat="1" applyFont="1" applyFill="1" applyBorder="1" applyAlignment="1">
      <alignment horizontal="center"/>
    </xf>
    <xf numFmtId="0" fontId="35" fillId="2" borderId="9" xfId="0" applyFont="1" applyFill="1" applyBorder="1" applyAlignment="1">
      <alignment horizontal="center"/>
    </xf>
    <xf numFmtId="2" fontId="5" fillId="0" borderId="0" xfId="0" applyNumberFormat="1" applyFont="1" applyAlignment="1">
      <alignment horizontal="center" vertical="center"/>
    </xf>
    <xf numFmtId="2" fontId="5" fillId="5" borderId="9" xfId="0" applyNumberFormat="1" applyFont="1" applyFill="1" applyBorder="1" applyAlignment="1">
      <alignment horizontal="center"/>
    </xf>
    <xf numFmtId="2" fontId="5" fillId="5" borderId="9" xfId="0" applyNumberFormat="1" applyFont="1" applyFill="1" applyBorder="1" applyAlignment="1">
      <alignment horizontal="left"/>
    </xf>
    <xf numFmtId="2" fontId="5" fillId="7" borderId="9" xfId="0" applyNumberFormat="1" applyFont="1" applyFill="1" applyBorder="1" applyAlignment="1">
      <alignment horizontal="center"/>
    </xf>
    <xf numFmtId="0" fontId="0" fillId="7" borderId="9" xfId="0" applyFill="1" applyBorder="1" applyAlignment="1">
      <alignment horizontal="center"/>
    </xf>
    <xf numFmtId="168" fontId="5" fillId="0" borderId="0" xfId="0" applyNumberFormat="1" applyFont="1" applyAlignment="1">
      <alignment horizontal="center"/>
    </xf>
    <xf numFmtId="168" fontId="33" fillId="0" borderId="0" xfId="0" applyNumberFormat="1" applyFont="1" applyAlignment="1">
      <alignment horizontal="center"/>
    </xf>
    <xf numFmtId="0" fontId="5" fillId="0" borderId="4" xfId="0" applyFont="1" applyBorder="1" applyAlignment="1">
      <alignment horizontal="center"/>
    </xf>
    <xf numFmtId="0" fontId="5" fillId="4" borderId="4" xfId="0" applyFont="1" applyFill="1" applyBorder="1" applyAlignment="1">
      <alignment horizontal="center"/>
    </xf>
    <xf numFmtId="0" fontId="0" fillId="3" borderId="4" xfId="0" applyFill="1" applyBorder="1" applyAlignment="1">
      <alignment horizontal="center"/>
    </xf>
    <xf numFmtId="164" fontId="27" fillId="0" borderId="5" xfId="0" applyNumberFormat="1" applyFont="1" applyBorder="1" applyAlignment="1">
      <alignment horizontal="center"/>
    </xf>
    <xf numFmtId="2" fontId="25" fillId="0" borderId="5" xfId="0" applyNumberFormat="1" applyFont="1" applyBorder="1" applyAlignment="1">
      <alignment horizontal="left"/>
    </xf>
    <xf numFmtId="0" fontId="5" fillId="2" borderId="4" xfId="0" applyFont="1" applyFill="1" applyBorder="1" applyAlignment="1">
      <alignment horizontal="center"/>
    </xf>
    <xf numFmtId="1" fontId="5" fillId="7" borderId="9" xfId="0" applyNumberFormat="1" applyFont="1" applyFill="1" applyBorder="1" applyAlignment="1">
      <alignment horizontal="center"/>
    </xf>
    <xf numFmtId="165" fontId="0" fillId="7" borderId="9" xfId="0" applyNumberFormat="1" applyFill="1" applyBorder="1" applyAlignment="1">
      <alignment horizontal="center"/>
    </xf>
    <xf numFmtId="1" fontId="5" fillId="0" borderId="9" xfId="0" applyNumberFormat="1" applyFont="1" applyBorder="1" applyAlignment="1">
      <alignment horizontal="center"/>
    </xf>
    <xf numFmtId="2" fontId="5" fillId="0" borderId="9" xfId="0" applyNumberFormat="1" applyFont="1" applyBorder="1" applyAlignment="1">
      <alignment horizontal="center"/>
    </xf>
    <xf numFmtId="0" fontId="0" fillId="0" borderId="9" xfId="0" applyBorder="1" applyAlignment="1">
      <alignment horizontal="center"/>
    </xf>
    <xf numFmtId="165" fontId="0" fillId="0" borderId="9" xfId="0" applyNumberFormat="1" applyBorder="1" applyAlignment="1">
      <alignment horizontal="center"/>
    </xf>
    <xf numFmtId="171" fontId="0" fillId="2" borderId="9" xfId="0" applyNumberFormat="1" applyFill="1" applyBorder="1"/>
    <xf numFmtId="173" fontId="25" fillId="0" borderId="0" xfId="0" applyNumberFormat="1" applyFont="1" applyAlignment="1">
      <alignment horizontal="right" vertical="center" shrinkToFit="1"/>
    </xf>
    <xf numFmtId="166" fontId="26" fillId="0" borderId="0" xfId="0" applyNumberFormat="1" applyFont="1" applyAlignment="1">
      <alignment horizontal="right" vertical="center"/>
    </xf>
    <xf numFmtId="170" fontId="27" fillId="0" borderId="0" xfId="0" applyNumberFormat="1" applyFont="1" applyAlignment="1">
      <alignment horizontal="right" vertical="center"/>
    </xf>
    <xf numFmtId="168" fontId="0" fillId="0" borderId="0" xfId="0" applyNumberFormat="1" applyAlignment="1">
      <alignment horizontal="left"/>
    </xf>
    <xf numFmtId="168" fontId="2" fillId="0" borderId="0" xfId="2" applyNumberFormat="1" applyAlignment="1">
      <alignment horizontal="right" vertical="center"/>
    </xf>
    <xf numFmtId="0" fontId="29" fillId="0" borderId="0" xfId="0" applyFont="1" applyAlignment="1">
      <alignment horizontal="right"/>
    </xf>
    <xf numFmtId="0" fontId="7" fillId="5" borderId="10" xfId="0" applyFont="1" applyFill="1" applyBorder="1" applyProtection="1">
      <protection hidden="1"/>
    </xf>
    <xf numFmtId="0" fontId="7" fillId="5" borderId="11" xfId="0" applyFont="1" applyFill="1" applyBorder="1" applyProtection="1">
      <protection hidden="1"/>
    </xf>
    <xf numFmtId="0" fontId="25" fillId="0" borderId="0" xfId="0" applyFont="1"/>
    <xf numFmtId="0" fontId="7" fillId="5" borderId="0" xfId="0" applyFont="1" applyFill="1" applyProtection="1">
      <protection hidden="1"/>
    </xf>
    <xf numFmtId="0" fontId="7" fillId="5" borderId="12" xfId="0" applyFont="1" applyFill="1" applyBorder="1" applyProtection="1">
      <protection hidden="1"/>
    </xf>
    <xf numFmtId="0" fontId="8" fillId="5" borderId="11" xfId="0" applyFont="1" applyFill="1" applyBorder="1" applyAlignment="1" applyProtection="1">
      <alignment horizontal="center"/>
      <protection hidden="1"/>
    </xf>
    <xf numFmtId="1" fontId="8" fillId="5" borderId="11" xfId="0" applyNumberFormat="1" applyFont="1" applyFill="1" applyBorder="1" applyAlignment="1" applyProtection="1">
      <alignment horizontal="center"/>
      <protection hidden="1"/>
    </xf>
    <xf numFmtId="164" fontId="8" fillId="5" borderId="11" xfId="0" applyNumberFormat="1" applyFont="1" applyFill="1" applyBorder="1" applyAlignment="1" applyProtection="1">
      <alignment horizontal="center"/>
      <protection hidden="1"/>
    </xf>
    <xf numFmtId="0" fontId="7" fillId="0" borderId="0" xfId="0" applyFont="1"/>
    <xf numFmtId="0" fontId="1" fillId="5" borderId="0" xfId="0" applyFont="1" applyFill="1" applyAlignment="1" applyProtection="1">
      <alignment horizontal="right"/>
      <protection hidden="1"/>
    </xf>
    <xf numFmtId="0" fontId="36" fillId="5" borderId="0" xfId="0" applyFont="1" applyFill="1" applyProtection="1">
      <protection hidden="1"/>
    </xf>
    <xf numFmtId="0" fontId="8" fillId="5" borderId="10" xfId="0" applyFont="1" applyFill="1" applyBorder="1" applyAlignment="1" applyProtection="1">
      <alignment horizontal="center"/>
      <protection hidden="1"/>
    </xf>
    <xf numFmtId="0" fontId="8" fillId="5" borderId="12" xfId="0" applyFont="1" applyFill="1" applyBorder="1" applyAlignment="1" applyProtection="1">
      <alignment horizontal="center"/>
      <protection hidden="1"/>
    </xf>
    <xf numFmtId="0" fontId="0" fillId="0" borderId="13" xfId="0" applyBorder="1"/>
    <xf numFmtId="1" fontId="5" fillId="0" borderId="14" xfId="0" applyNumberFormat="1" applyFont="1" applyBorder="1" applyAlignment="1">
      <alignment horizontal="center"/>
    </xf>
    <xf numFmtId="0" fontId="36" fillId="2" borderId="0" xfId="0" applyFont="1" applyFill="1" applyAlignment="1">
      <alignment wrapText="1"/>
    </xf>
    <xf numFmtId="0" fontId="8" fillId="0" borderId="15" xfId="0" applyFont="1" applyBorder="1" applyAlignment="1" applyProtection="1">
      <alignment horizontal="center"/>
      <protection locked="0" hidden="1"/>
    </xf>
    <xf numFmtId="164" fontId="8" fillId="0" borderId="15" xfId="0" applyNumberFormat="1" applyFont="1" applyBorder="1" applyAlignment="1" applyProtection="1">
      <alignment horizontal="center"/>
      <protection locked="0" hidden="1"/>
    </xf>
    <xf numFmtId="0" fontId="0" fillId="5" borderId="0" xfId="0" applyFill="1" applyProtection="1">
      <protection hidden="1"/>
    </xf>
    <xf numFmtId="167" fontId="8" fillId="0" borderId="16" xfId="0" applyNumberFormat="1" applyFont="1" applyBorder="1" applyAlignment="1" applyProtection="1">
      <alignment horizontal="center"/>
      <protection locked="0" hidden="1"/>
    </xf>
    <xf numFmtId="170" fontId="8" fillId="0" borderId="17" xfId="0" applyNumberFormat="1" applyFont="1" applyBorder="1" applyAlignment="1" applyProtection="1">
      <alignment horizontal="center"/>
      <protection locked="0" hidden="1"/>
    </xf>
    <xf numFmtId="166" fontId="25" fillId="0" borderId="0" xfId="0" applyNumberFormat="1" applyFont="1" applyAlignment="1">
      <alignment horizontal="right" vertical="center" shrinkToFit="1"/>
    </xf>
    <xf numFmtId="173" fontId="26" fillId="0" borderId="0" xfId="0" applyNumberFormat="1" applyFont="1" applyAlignment="1">
      <alignment horizontal="center" vertical="center"/>
    </xf>
    <xf numFmtId="173" fontId="5" fillId="0" borderId="0" xfId="1" applyNumberFormat="1" applyFont="1" applyAlignment="1">
      <alignment horizontal="center"/>
    </xf>
    <xf numFmtId="170" fontId="2" fillId="0" borderId="0" xfId="0" applyNumberFormat="1" applyFont="1"/>
    <xf numFmtId="2" fontId="8" fillId="0" borderId="0" xfId="0" applyNumberFormat="1" applyFont="1" applyAlignment="1">
      <alignment horizontal="right"/>
    </xf>
    <xf numFmtId="1" fontId="8" fillId="0" borderId="0" xfId="0" applyNumberFormat="1" applyFont="1" applyAlignment="1">
      <alignment horizontal="center"/>
    </xf>
    <xf numFmtId="0" fontId="35" fillId="0" borderId="0" xfId="0" applyFont="1"/>
    <xf numFmtId="164" fontId="8" fillId="0" borderId="0" xfId="0" applyNumberFormat="1" applyFont="1" applyAlignment="1">
      <alignment horizontal="center"/>
    </xf>
    <xf numFmtId="2" fontId="37" fillId="0" borderId="0" xfId="0" applyNumberFormat="1" applyFont="1" applyAlignment="1">
      <alignment horizontal="center"/>
    </xf>
    <xf numFmtId="2" fontId="8" fillId="5" borderId="0" xfId="0" applyNumberFormat="1" applyFont="1" applyFill="1" applyAlignment="1">
      <alignment horizontal="center"/>
    </xf>
    <xf numFmtId="2" fontId="7" fillId="5" borderId="9" xfId="0" applyNumberFormat="1" applyFont="1" applyFill="1" applyBorder="1" applyAlignment="1">
      <alignment horizontal="center"/>
    </xf>
    <xf numFmtId="164" fontId="5" fillId="5" borderId="9" xfId="0" applyNumberFormat="1" applyFont="1" applyFill="1" applyBorder="1" applyAlignment="1">
      <alignment horizontal="center"/>
    </xf>
    <xf numFmtId="2" fontId="39" fillId="0" borderId="0" xfId="0" applyNumberFormat="1" applyFont="1" applyAlignment="1">
      <alignment horizontal="center"/>
    </xf>
    <xf numFmtId="164" fontId="40" fillId="0" borderId="0" xfId="0" applyNumberFormat="1" applyFont="1" applyAlignment="1">
      <alignment horizontal="left"/>
    </xf>
    <xf numFmtId="0" fontId="41" fillId="0" borderId="0" xfId="0" applyFont="1"/>
    <xf numFmtId="2" fontId="40" fillId="0" borderId="0" xfId="0" applyNumberFormat="1" applyFont="1" applyAlignment="1">
      <alignment horizontal="left"/>
    </xf>
    <xf numFmtId="2" fontId="40" fillId="0" borderId="0" xfId="0" applyNumberFormat="1" applyFont="1" applyAlignment="1">
      <alignment horizontal="center"/>
    </xf>
    <xf numFmtId="1" fontId="40" fillId="0" borderId="0" xfId="0" applyNumberFormat="1" applyFont="1" applyAlignment="1">
      <alignment horizontal="center"/>
    </xf>
    <xf numFmtId="2" fontId="40" fillId="0" borderId="0" xfId="0" applyNumberFormat="1" applyFont="1" applyAlignment="1">
      <alignment horizontal="right"/>
    </xf>
    <xf numFmtId="1" fontId="34" fillId="0" borderId="0" xfId="0" applyNumberFormat="1" applyFont="1" applyAlignment="1">
      <alignment horizontal="center"/>
    </xf>
    <xf numFmtId="171" fontId="33" fillId="0" borderId="0" xfId="0" applyNumberFormat="1" applyFont="1" applyAlignment="1">
      <alignment horizontal="center"/>
    </xf>
    <xf numFmtId="3" fontId="0" fillId="0" borderId="0" xfId="0" applyNumberFormat="1" applyAlignment="1">
      <alignment horizontal="center"/>
    </xf>
    <xf numFmtId="166" fontId="25" fillId="0" borderId="0" xfId="0" applyNumberFormat="1" applyFont="1" applyAlignment="1">
      <alignment horizontal="right" vertical="center"/>
    </xf>
    <xf numFmtId="167" fontId="25" fillId="0" borderId="0" xfId="0" applyNumberFormat="1" applyFont="1" applyAlignment="1">
      <alignment horizontal="right" vertical="center" shrinkToFit="1"/>
    </xf>
    <xf numFmtId="0" fontId="6" fillId="0" borderId="0" xfId="0" quotePrefix="1" applyFont="1" applyAlignment="1">
      <alignment horizontal="left"/>
    </xf>
    <xf numFmtId="0" fontId="7" fillId="0" borderId="0" xfId="0" quotePrefix="1" applyFont="1" applyAlignment="1">
      <alignment horizontal="center"/>
    </xf>
    <xf numFmtId="0" fontId="32" fillId="2" borderId="9" xfId="0" quotePrefix="1" applyFont="1" applyFill="1" applyBorder="1" applyAlignment="1">
      <alignment horizontal="left"/>
    </xf>
    <xf numFmtId="0" fontId="0" fillId="0" borderId="0" xfId="0" quotePrefix="1" applyAlignment="1">
      <alignment horizontal="center"/>
    </xf>
    <xf numFmtId="170" fontId="5" fillId="0" borderId="0" xfId="0" applyNumberFormat="1" applyFont="1" applyAlignment="1">
      <alignment horizontal="center"/>
    </xf>
    <xf numFmtId="166" fontId="8" fillId="0" borderId="18" xfId="0" applyNumberFormat="1" applyFont="1" applyBorder="1" applyAlignment="1" applyProtection="1">
      <alignment horizontal="center"/>
      <protection locked="0" hidden="1"/>
    </xf>
    <xf numFmtId="0" fontId="42" fillId="0" borderId="0" xfId="0" applyFont="1" applyAlignment="1">
      <alignment horizontal="center"/>
    </xf>
    <xf numFmtId="0" fontId="5" fillId="0" borderId="0" xfId="0" quotePrefix="1" applyFont="1" applyAlignment="1">
      <alignment horizontal="center"/>
    </xf>
    <xf numFmtId="0" fontId="24" fillId="0" borderId="0" xfId="0" applyFont="1" applyAlignment="1">
      <alignment horizontal="center"/>
    </xf>
    <xf numFmtId="0" fontId="43" fillId="0" borderId="0" xfId="0" applyFont="1" applyAlignment="1">
      <alignment horizontal="center"/>
    </xf>
    <xf numFmtId="0" fontId="37" fillId="0" borderId="0" xfId="0" applyFont="1" applyAlignment="1">
      <alignment horizontal="center"/>
    </xf>
    <xf numFmtId="164" fontId="34" fillId="0" borderId="0" xfId="0" applyNumberFormat="1" applyFont="1" applyAlignment="1">
      <alignment horizontal="center"/>
    </xf>
    <xf numFmtId="0" fontId="5" fillId="0" borderId="0" xfId="0" quotePrefix="1" applyFont="1" applyAlignment="1">
      <alignment horizontal="left"/>
    </xf>
    <xf numFmtId="0" fontId="13" fillId="0" borderId="0" xfId="0" applyFont="1" applyAlignment="1">
      <alignment horizontal="left"/>
    </xf>
    <xf numFmtId="173" fontId="2" fillId="0" borderId="0" xfId="2" applyNumberFormat="1" applyAlignment="1">
      <alignment horizontal="right" vertical="center"/>
    </xf>
    <xf numFmtId="170" fontId="25" fillId="0" borderId="0" xfId="0" applyNumberFormat="1" applyFont="1" applyAlignment="1">
      <alignment horizontal="right" vertical="center" shrinkToFit="1"/>
    </xf>
    <xf numFmtId="49" fontId="25" fillId="0" borderId="0" xfId="0" quotePrefix="1" applyNumberFormat="1" applyFont="1" applyAlignment="1">
      <alignment horizontal="right" vertical="center" shrinkToFit="1"/>
    </xf>
    <xf numFmtId="167" fontId="27" fillId="0" borderId="0" xfId="0" applyNumberFormat="1" applyFont="1" applyAlignment="1">
      <alignment horizontal="center" vertical="center"/>
    </xf>
    <xf numFmtId="166" fontId="27" fillId="0" borderId="0" xfId="0" applyNumberFormat="1" applyFont="1" applyAlignment="1">
      <alignment horizontal="center" vertical="center"/>
    </xf>
    <xf numFmtId="173" fontId="27" fillId="0" borderId="0" xfId="0" applyNumberFormat="1" applyFont="1" applyAlignment="1">
      <alignment horizontal="center" vertical="center"/>
    </xf>
    <xf numFmtId="173" fontId="29" fillId="0" borderId="0" xfId="0" applyNumberFormat="1" applyFont="1" applyAlignment="1">
      <alignment horizontal="center" vertical="center"/>
    </xf>
    <xf numFmtId="1" fontId="2" fillId="0" borderId="0" xfId="0" applyNumberFormat="1" applyFont="1" applyAlignment="1">
      <alignment horizontal="center"/>
    </xf>
    <xf numFmtId="0" fontId="2" fillId="0" borderId="0" xfId="0" applyFont="1" applyAlignment="1">
      <alignment horizontal="left"/>
    </xf>
    <xf numFmtId="164" fontId="2" fillId="0" borderId="0" xfId="0" applyNumberFormat="1" applyFont="1" applyAlignment="1">
      <alignment horizontal="center"/>
    </xf>
    <xf numFmtId="0" fontId="2" fillId="2" borderId="0" xfId="0" applyFont="1" applyFill="1" applyAlignment="1">
      <alignment horizontal="center"/>
    </xf>
    <xf numFmtId="0" fontId="3" fillId="0" borderId="0" xfId="3" applyAlignment="1" applyProtection="1"/>
    <xf numFmtId="0" fontId="0" fillId="0" borderId="0" xfId="0" quotePrefix="1" applyAlignment="1">
      <alignment horizontal="left"/>
    </xf>
    <xf numFmtId="0" fontId="45" fillId="0" borderId="0" xfId="0" applyFont="1" applyAlignment="1">
      <alignment horizontal="center" vertical="center"/>
    </xf>
    <xf numFmtId="0" fontId="46" fillId="0" borderId="0" xfId="0" applyFont="1"/>
    <xf numFmtId="0" fontId="45" fillId="0" borderId="0" xfId="0" quotePrefix="1" applyFont="1" applyAlignment="1">
      <alignment horizontal="center" vertical="center"/>
    </xf>
    <xf numFmtId="0" fontId="1" fillId="5" borderId="0" xfId="0" applyFont="1" applyFill="1" applyProtection="1">
      <protection hidden="1"/>
    </xf>
    <xf numFmtId="170" fontId="8" fillId="5" borderId="0" xfId="0" applyNumberFormat="1" applyFont="1" applyFill="1" applyAlignment="1" applyProtection="1">
      <alignment horizontal="center"/>
      <protection hidden="1"/>
    </xf>
    <xf numFmtId="171" fontId="8" fillId="5" borderId="0" xfId="0" applyNumberFormat="1" applyFont="1" applyFill="1" applyAlignment="1" applyProtection="1">
      <alignment horizontal="center"/>
      <protection hidden="1"/>
    </xf>
    <xf numFmtId="2" fontId="7" fillId="0" borderId="0" xfId="0" quotePrefix="1" applyNumberFormat="1" applyFont="1" applyAlignment="1">
      <alignment horizontal="center"/>
    </xf>
    <xf numFmtId="170" fontId="2" fillId="0" borderId="5" xfId="0" applyNumberFormat="1" applyFont="1" applyBorder="1"/>
    <xf numFmtId="0" fontId="0" fillId="0" borderId="6" xfId="0" applyBorder="1" applyAlignment="1">
      <alignment horizontal="center"/>
    </xf>
    <xf numFmtId="173" fontId="5" fillId="0" borderId="7" xfId="1" applyNumberFormat="1" applyFont="1" applyBorder="1" applyAlignment="1">
      <alignment horizontal="center"/>
    </xf>
    <xf numFmtId="1" fontId="7" fillId="0" borderId="13" xfId="0" applyNumberFormat="1" applyFont="1" applyBorder="1" applyAlignment="1">
      <alignment horizontal="center"/>
    </xf>
    <xf numFmtId="2" fontId="7" fillId="0" borderId="19" xfId="0" applyNumberFormat="1" applyFont="1" applyBorder="1" applyAlignment="1">
      <alignment horizontal="center"/>
    </xf>
    <xf numFmtId="2" fontId="7" fillId="0" borderId="19" xfId="0" quotePrefix="1" applyNumberFormat="1" applyFont="1" applyBorder="1" applyAlignment="1">
      <alignment horizontal="center"/>
    </xf>
    <xf numFmtId="2" fontId="7" fillId="0" borderId="14" xfId="0" quotePrefix="1" applyNumberFormat="1" applyFont="1" applyBorder="1" applyAlignment="1">
      <alignment horizontal="center"/>
    </xf>
    <xf numFmtId="2" fontId="5" fillId="2" borderId="9" xfId="0" applyNumberFormat="1" applyFont="1" applyFill="1" applyBorder="1" applyAlignment="1">
      <alignment horizontal="center"/>
    </xf>
    <xf numFmtId="2" fontId="7" fillId="0" borderId="9" xfId="0" applyNumberFormat="1" applyFont="1" applyBorder="1" applyAlignment="1">
      <alignment horizontal="center"/>
    </xf>
    <xf numFmtId="1" fontId="5" fillId="2" borderId="14" xfId="0" applyNumberFormat="1" applyFont="1" applyFill="1" applyBorder="1" applyAlignment="1">
      <alignment horizontal="center"/>
    </xf>
    <xf numFmtId="170" fontId="2" fillId="2" borderId="0" xfId="0" applyNumberFormat="1" applyFont="1" applyFill="1"/>
    <xf numFmtId="170" fontId="2" fillId="2" borderId="5" xfId="0" applyNumberFormat="1" applyFont="1" applyFill="1" applyBorder="1"/>
    <xf numFmtId="170" fontId="2" fillId="8" borderId="0" xfId="0" applyNumberFormat="1" applyFont="1" applyFill="1"/>
    <xf numFmtId="170" fontId="2" fillId="8" borderId="5" xfId="0" applyNumberFormat="1" applyFont="1" applyFill="1" applyBorder="1"/>
    <xf numFmtId="170" fontId="2" fillId="0" borderId="7" xfId="0" applyNumberFormat="1" applyFont="1" applyBorder="1"/>
    <xf numFmtId="170" fontId="2" fillId="0" borderId="8" xfId="0" applyNumberFormat="1" applyFont="1" applyBorder="1"/>
    <xf numFmtId="0" fontId="1" fillId="0" borderId="9" xfId="0" applyFont="1" applyBorder="1" applyAlignment="1">
      <alignment horizontal="center"/>
    </xf>
    <xf numFmtId="0" fontId="0" fillId="6" borderId="9" xfId="0" applyFill="1" applyBorder="1" applyAlignment="1" applyProtection="1">
      <alignment horizontal="center"/>
      <protection locked="0"/>
    </xf>
    <xf numFmtId="0" fontId="0" fillId="3" borderId="9" xfId="0" applyFill="1" applyBorder="1" applyAlignment="1">
      <alignment horizontal="center"/>
    </xf>
    <xf numFmtId="0" fontId="5" fillId="0" borderId="9" xfId="0" applyFont="1" applyBorder="1" applyAlignment="1">
      <alignment horizontal="center"/>
    </xf>
    <xf numFmtId="0" fontId="1" fillId="7" borderId="8" xfId="0" applyFont="1" applyFill="1" applyBorder="1" applyAlignment="1">
      <alignment horizontal="center"/>
    </xf>
    <xf numFmtId="2" fontId="0" fillId="0" borderId="0" xfId="0" quotePrefix="1" applyNumberFormat="1" applyAlignment="1">
      <alignment horizontal="center"/>
    </xf>
    <xf numFmtId="0" fontId="1" fillId="7" borderId="9" xfId="0" applyFont="1" applyFill="1" applyBorder="1"/>
    <xf numFmtId="0" fontId="1" fillId="7" borderId="9" xfId="0" applyFont="1" applyFill="1" applyBorder="1" applyAlignment="1">
      <alignment horizontal="center"/>
    </xf>
    <xf numFmtId="167" fontId="5" fillId="0" borderId="0" xfId="0" applyNumberFormat="1" applyFont="1" applyAlignment="1">
      <alignment horizontal="center"/>
    </xf>
    <xf numFmtId="164" fontId="7" fillId="0" borderId="9" xfId="0" applyNumberFormat="1" applyFont="1" applyBorder="1" applyAlignment="1">
      <alignment horizontal="center"/>
    </xf>
    <xf numFmtId="164" fontId="0" fillId="0" borderId="9" xfId="0" applyNumberFormat="1" applyBorder="1" applyAlignment="1">
      <alignment horizontal="center"/>
    </xf>
    <xf numFmtId="170" fontId="5" fillId="0" borderId="9" xfId="0" applyNumberFormat="1" applyFont="1" applyBorder="1" applyAlignment="1">
      <alignment horizontal="center"/>
    </xf>
    <xf numFmtId="171" fontId="0" fillId="0" borderId="0" xfId="0" applyNumberFormat="1" applyAlignment="1">
      <alignment horizontal="center"/>
    </xf>
    <xf numFmtId="171" fontId="0" fillId="0" borderId="9" xfId="0" quotePrefix="1" applyNumberFormat="1" applyBorder="1" applyAlignment="1">
      <alignment horizontal="center"/>
    </xf>
    <xf numFmtId="0" fontId="8" fillId="0" borderId="15" xfId="0" applyFont="1" applyBorder="1" applyAlignment="1" applyProtection="1">
      <alignment horizontal="center"/>
      <protection hidden="1"/>
    </xf>
    <xf numFmtId="171" fontId="5" fillId="0" borderId="0" xfId="0" applyNumberFormat="1" applyFont="1" applyAlignment="1">
      <alignment horizontal="center"/>
    </xf>
    <xf numFmtId="2" fontId="5" fillId="3" borderId="0" xfId="0" applyNumberFormat="1" applyFont="1" applyFill="1" applyAlignment="1">
      <alignment horizontal="center"/>
    </xf>
    <xf numFmtId="0" fontId="5" fillId="0" borderId="0" xfId="0" quotePrefix="1" applyFont="1" applyAlignment="1">
      <alignment horizontal="left" vertical="top" wrapText="1"/>
    </xf>
    <xf numFmtId="0" fontId="13" fillId="0" borderId="0" xfId="0" quotePrefix="1" applyFont="1" applyAlignment="1">
      <alignment horizontal="left" vertical="top" wrapText="1"/>
    </xf>
    <xf numFmtId="0" fontId="54" fillId="0" borderId="0" xfId="0" applyFont="1"/>
    <xf numFmtId="164" fontId="27" fillId="0" borderId="0" xfId="0" applyNumberFormat="1" applyFont="1" applyAlignment="1">
      <alignment horizontal="center" vertical="center"/>
    </xf>
    <xf numFmtId="0" fontId="27" fillId="0" borderId="0" xfId="0" applyFont="1" applyAlignment="1">
      <alignment horizontal="center" vertical="center"/>
    </xf>
    <xf numFmtId="0" fontId="29" fillId="0" borderId="0" xfId="0" applyFont="1" applyAlignment="1">
      <alignment horizontal="center" vertical="center"/>
    </xf>
    <xf numFmtId="165" fontId="27" fillId="0" borderId="0" xfId="0" applyNumberFormat="1" applyFont="1" applyAlignment="1">
      <alignment horizontal="center" vertical="center"/>
    </xf>
    <xf numFmtId="173" fontId="25" fillId="0" borderId="0" xfId="0" applyNumberFormat="1" applyFont="1" applyAlignment="1">
      <alignment horizontal="right" vertical="center"/>
    </xf>
    <xf numFmtId="170" fontId="25" fillId="0" borderId="0" xfId="0" applyNumberFormat="1" applyFont="1" applyAlignment="1">
      <alignment horizontal="right" vertical="center"/>
    </xf>
    <xf numFmtId="167" fontId="25" fillId="0" borderId="0" xfId="0" applyNumberFormat="1" applyFont="1" applyAlignment="1">
      <alignment horizontal="right" vertical="center"/>
    </xf>
    <xf numFmtId="168" fontId="0" fillId="0" borderId="0" xfId="0" applyNumberFormat="1"/>
    <xf numFmtId="168" fontId="27" fillId="0" borderId="0" xfId="0" applyNumberFormat="1" applyFont="1"/>
    <xf numFmtId="169" fontId="29" fillId="0" borderId="0" xfId="0" applyNumberFormat="1" applyFont="1" applyAlignment="1">
      <alignment horizontal="center" vertical="center"/>
    </xf>
    <xf numFmtId="166" fontId="27" fillId="0" borderId="0" xfId="0" applyNumberFormat="1" applyFont="1" applyAlignment="1">
      <alignment horizontal="center" vertical="center" shrinkToFit="1"/>
    </xf>
    <xf numFmtId="173" fontId="27" fillId="0" borderId="0" xfId="0" applyNumberFormat="1" applyFont="1" applyAlignment="1">
      <alignment horizontal="center" vertical="center" shrinkToFit="1"/>
    </xf>
    <xf numFmtId="169" fontId="27" fillId="0" borderId="0" xfId="0" applyNumberFormat="1" applyFont="1"/>
    <xf numFmtId="168" fontId="27" fillId="0" borderId="0" xfId="2" applyNumberFormat="1" applyFont="1" applyAlignment="1">
      <alignment horizontal="center" vertical="center"/>
    </xf>
    <xf numFmtId="0" fontId="27" fillId="0" borderId="0" xfId="0" applyFont="1" applyAlignment="1">
      <alignment horizontal="center"/>
    </xf>
    <xf numFmtId="2" fontId="55" fillId="0" borderId="0" xfId="0" applyNumberFormat="1" applyFont="1" applyAlignment="1">
      <alignment horizontal="center" vertical="center"/>
    </xf>
    <xf numFmtId="170" fontId="27" fillId="0" borderId="0" xfId="0" applyNumberFormat="1" applyFont="1" applyAlignment="1">
      <alignment horizontal="center" vertical="center"/>
    </xf>
    <xf numFmtId="168" fontId="27" fillId="0" borderId="0" xfId="0" applyNumberFormat="1" applyFont="1" applyAlignment="1">
      <alignment horizontal="center"/>
    </xf>
    <xf numFmtId="164" fontId="27" fillId="0" borderId="0" xfId="0" applyNumberFormat="1" applyFont="1" applyAlignment="1">
      <alignment horizontal="center"/>
    </xf>
    <xf numFmtId="0" fontId="27" fillId="0" borderId="0" xfId="0" applyFont="1" applyAlignment="1">
      <alignment horizontal="center" vertical="center" shrinkToFit="1"/>
    </xf>
    <xf numFmtId="49" fontId="27" fillId="0" borderId="0" xfId="0" applyNumberFormat="1" applyFont="1" applyAlignment="1">
      <alignment horizontal="center" vertical="center"/>
    </xf>
    <xf numFmtId="167" fontId="29" fillId="0" borderId="0" xfId="0" applyNumberFormat="1" applyFont="1" applyAlignment="1">
      <alignment horizontal="center" vertical="center"/>
    </xf>
    <xf numFmtId="168" fontId="29" fillId="0" borderId="0" xfId="0" applyNumberFormat="1" applyFont="1" applyAlignment="1">
      <alignment horizontal="center"/>
    </xf>
    <xf numFmtId="174" fontId="2" fillId="0" borderId="0" xfId="0" applyNumberFormat="1" applyFont="1"/>
    <xf numFmtId="177" fontId="8" fillId="5" borderId="11" xfId="0" applyNumberFormat="1" applyFont="1" applyFill="1" applyBorder="1" applyAlignment="1" applyProtection="1">
      <alignment horizontal="center"/>
      <protection hidden="1"/>
    </xf>
    <xf numFmtId="177" fontId="5" fillId="3" borderId="5" xfId="0" applyNumberFormat="1" applyFont="1" applyFill="1" applyBorder="1" applyAlignment="1">
      <alignment horizontal="center"/>
    </xf>
    <xf numFmtId="164" fontId="0" fillId="3" borderId="4" xfId="0" applyNumberFormat="1" applyFill="1" applyBorder="1" applyAlignment="1">
      <alignment horizontal="center"/>
    </xf>
    <xf numFmtId="164" fontId="8" fillId="5" borderId="10" xfId="0" applyNumberFormat="1" applyFont="1" applyFill="1" applyBorder="1" applyAlignment="1" applyProtection="1">
      <alignment horizontal="center"/>
      <protection hidden="1"/>
    </xf>
    <xf numFmtId="175" fontId="8" fillId="5" borderId="0" xfId="0" applyNumberFormat="1" applyFont="1" applyFill="1" applyAlignment="1" applyProtection="1">
      <alignment horizontal="center"/>
      <protection hidden="1"/>
    </xf>
    <xf numFmtId="172" fontId="8" fillId="5" borderId="10" xfId="0" applyNumberFormat="1" applyFont="1" applyFill="1" applyBorder="1" applyAlignment="1" applyProtection="1">
      <alignment horizontal="center"/>
      <protection hidden="1"/>
    </xf>
    <xf numFmtId="176" fontId="8" fillId="5" borderId="12" xfId="0" applyNumberFormat="1" applyFont="1" applyFill="1" applyBorder="1" applyAlignment="1" applyProtection="1">
      <alignment horizontal="center"/>
      <protection hidden="1"/>
    </xf>
    <xf numFmtId="177" fontId="5" fillId="2" borderId="5" xfId="0" applyNumberFormat="1" applyFont="1" applyFill="1" applyBorder="1" applyAlignment="1">
      <alignment horizontal="center"/>
    </xf>
    <xf numFmtId="177" fontId="5" fillId="0" borderId="5" xfId="0" applyNumberFormat="1" applyFont="1" applyBorder="1" applyAlignment="1">
      <alignment horizontal="center"/>
    </xf>
    <xf numFmtId="1" fontId="7" fillId="0" borderId="20" xfId="0" applyNumberFormat="1" applyFont="1" applyBorder="1" applyAlignment="1">
      <alignment horizontal="center"/>
    </xf>
    <xf numFmtId="2" fontId="7" fillId="0" borderId="20" xfId="0" applyNumberFormat="1" applyFont="1" applyBorder="1" applyAlignment="1">
      <alignment horizontal="center"/>
    </xf>
    <xf numFmtId="2" fontId="5" fillId="0" borderId="20" xfId="0" applyNumberFormat="1" applyFont="1" applyBorder="1" applyAlignment="1">
      <alignment horizontal="center"/>
    </xf>
    <xf numFmtId="2" fontId="5" fillId="0" borderId="21" xfId="0" applyNumberFormat="1" applyFont="1" applyBorder="1" applyAlignment="1">
      <alignment horizontal="center"/>
    </xf>
    <xf numFmtId="1" fontId="7" fillId="0" borderId="22" xfId="0" applyNumberFormat="1" applyFont="1" applyBorder="1" applyAlignment="1">
      <alignment horizontal="center"/>
    </xf>
    <xf numFmtId="2" fontId="7" fillId="0" borderId="23" xfId="0" applyNumberFormat="1" applyFont="1" applyBorder="1" applyAlignment="1">
      <alignment horizontal="center"/>
    </xf>
    <xf numFmtId="2" fontId="7" fillId="0" borderId="23" xfId="0" quotePrefix="1" applyNumberFormat="1" applyFont="1" applyBorder="1" applyAlignment="1">
      <alignment horizontal="center"/>
    </xf>
    <xf numFmtId="2" fontId="7" fillId="0" borderId="24" xfId="0" quotePrefix="1" applyNumberFormat="1" applyFont="1" applyBorder="1" applyAlignment="1">
      <alignment horizontal="center"/>
    </xf>
    <xf numFmtId="0" fontId="0" fillId="0" borderId="25" xfId="0" applyBorder="1" applyAlignment="1">
      <alignment horizontal="center"/>
    </xf>
    <xf numFmtId="173" fontId="5" fillId="0" borderId="20" xfId="1" applyNumberFormat="1" applyFont="1" applyBorder="1" applyAlignment="1">
      <alignment horizontal="center"/>
    </xf>
    <xf numFmtId="170" fontId="2" fillId="0" borderId="20" xfId="0" applyNumberFormat="1" applyFont="1" applyBorder="1"/>
    <xf numFmtId="170" fontId="2" fillId="0" borderId="26" xfId="0" applyNumberFormat="1" applyFont="1" applyBorder="1"/>
    <xf numFmtId="1" fontId="5" fillId="2" borderId="24" xfId="0" applyNumberFormat="1" applyFont="1" applyFill="1" applyBorder="1" applyAlignment="1">
      <alignment horizontal="center"/>
    </xf>
    <xf numFmtId="2" fontId="5" fillId="2" borderId="21" xfId="0" applyNumberFormat="1" applyFont="1" applyFill="1" applyBorder="1" applyAlignment="1">
      <alignment horizontal="center"/>
    </xf>
    <xf numFmtId="2" fontId="5" fillId="3" borderId="20" xfId="0" applyNumberFormat="1" applyFont="1" applyFill="1" applyBorder="1" applyAlignment="1">
      <alignment horizontal="center"/>
    </xf>
    <xf numFmtId="0" fontId="7" fillId="0" borderId="20" xfId="0" applyFont="1" applyBorder="1" applyAlignment="1">
      <alignment horizontal="center"/>
    </xf>
    <xf numFmtId="0" fontId="0" fillId="0" borderId="20" xfId="0" applyBorder="1" applyAlignment="1">
      <alignment horizontal="center"/>
    </xf>
    <xf numFmtId="170" fontId="2" fillId="2" borderId="20" xfId="0" applyNumberFormat="1" applyFont="1" applyFill="1" applyBorder="1"/>
    <xf numFmtId="170" fontId="2" fillId="2" borderId="26" xfId="0" applyNumberFormat="1" applyFont="1" applyFill="1" applyBorder="1"/>
    <xf numFmtId="1" fontId="5" fillId="0" borderId="20" xfId="0" applyNumberFormat="1" applyFont="1" applyBorder="1" applyAlignment="1">
      <alignment horizontal="center"/>
    </xf>
    <xf numFmtId="0" fontId="0" fillId="0" borderId="20" xfId="0" applyBorder="1"/>
    <xf numFmtId="170" fontId="2" fillId="8" borderId="20" xfId="0" applyNumberFormat="1" applyFont="1" applyFill="1" applyBorder="1"/>
    <xf numFmtId="170" fontId="2" fillId="8" borderId="26" xfId="0" applyNumberFormat="1" applyFont="1" applyFill="1" applyBorder="1"/>
    <xf numFmtId="0" fontId="0" fillId="0" borderId="27" xfId="0" applyBorder="1" applyAlignment="1">
      <alignment horizontal="center"/>
    </xf>
    <xf numFmtId="173" fontId="5" fillId="0" borderId="28" xfId="1" applyNumberFormat="1" applyFont="1" applyBorder="1" applyAlignment="1">
      <alignment horizontal="center"/>
    </xf>
    <xf numFmtId="170" fontId="2" fillId="0" borderId="28" xfId="0" applyNumberFormat="1" applyFont="1" applyBorder="1"/>
    <xf numFmtId="170" fontId="2" fillId="0" borderId="29" xfId="0" applyNumberFormat="1" applyFont="1" applyBorder="1"/>
    <xf numFmtId="0" fontId="1" fillId="7" borderId="21" xfId="0" applyFont="1" applyFill="1" applyBorder="1"/>
    <xf numFmtId="0" fontId="32" fillId="2" borderId="21" xfId="0" applyFont="1" applyFill="1" applyBorder="1"/>
    <xf numFmtId="0" fontId="0" fillId="0" borderId="21" xfId="0" applyBorder="1" applyAlignment="1">
      <alignment horizontal="center"/>
    </xf>
    <xf numFmtId="0" fontId="5" fillId="0" borderId="20" xfId="0" applyFont="1" applyBorder="1" applyAlignment="1">
      <alignment horizontal="center"/>
    </xf>
    <xf numFmtId="0" fontId="32" fillId="2" borderId="21" xfId="0" quotePrefix="1" applyFont="1" applyFill="1" applyBorder="1" applyAlignment="1">
      <alignment horizontal="left"/>
    </xf>
    <xf numFmtId="170" fontId="5" fillId="0" borderId="21" xfId="0" applyNumberFormat="1" applyFont="1" applyBorder="1" applyAlignment="1">
      <alignment horizontal="center"/>
    </xf>
    <xf numFmtId="170" fontId="5" fillId="0" borderId="20" xfId="0" applyNumberFormat="1" applyFont="1" applyBorder="1" applyAlignment="1">
      <alignment horizontal="center"/>
    </xf>
    <xf numFmtId="171" fontId="0" fillId="0" borderId="21" xfId="0" quotePrefix="1" applyNumberFormat="1" applyBorder="1" applyAlignment="1">
      <alignment horizontal="center"/>
    </xf>
    <xf numFmtId="171" fontId="0" fillId="0" borderId="20" xfId="0" applyNumberFormat="1" applyBorder="1" applyAlignment="1">
      <alignment horizontal="center"/>
    </xf>
    <xf numFmtId="166" fontId="0" fillId="0" borderId="3" xfId="0" applyNumberFormat="1" applyBorder="1"/>
    <xf numFmtId="2" fontId="5" fillId="0" borderId="2" xfId="0" applyNumberFormat="1" applyFont="1" applyBorder="1" applyAlignment="1">
      <alignment horizontal="center"/>
    </xf>
    <xf numFmtId="178" fontId="0" fillId="0" borderId="5" xfId="0" applyNumberFormat="1" applyBorder="1"/>
    <xf numFmtId="178" fontId="5" fillId="0" borderId="0" xfId="0" applyNumberFormat="1" applyFont="1" applyAlignment="1">
      <alignment horizontal="center"/>
    </xf>
    <xf numFmtId="178" fontId="5" fillId="3" borderId="0" xfId="0" applyNumberFormat="1" applyFont="1" applyFill="1" applyAlignment="1">
      <alignment horizontal="center"/>
    </xf>
    <xf numFmtId="174" fontId="8" fillId="0" borderId="16" xfId="0" applyNumberFormat="1" applyFont="1" applyBorder="1" applyAlignment="1" applyProtection="1">
      <alignment horizontal="center"/>
      <protection locked="0" hidden="1"/>
    </xf>
    <xf numFmtId="174" fontId="8" fillId="0" borderId="17" xfId="0" applyNumberFormat="1" applyFont="1" applyBorder="1" applyAlignment="1" applyProtection="1">
      <alignment horizontal="center"/>
      <protection locked="0" hidden="1"/>
    </xf>
    <xf numFmtId="174" fontId="8" fillId="0" borderId="18" xfId="0" applyNumberFormat="1" applyFont="1" applyBorder="1" applyAlignment="1" applyProtection="1">
      <alignment horizontal="center"/>
      <protection locked="0" hidden="1"/>
    </xf>
    <xf numFmtId="177" fontId="5" fillId="7" borderId="9" xfId="0" applyNumberFormat="1" applyFont="1" applyFill="1" applyBorder="1" applyAlignment="1">
      <alignment horizontal="center"/>
    </xf>
    <xf numFmtId="177" fontId="0" fillId="2" borderId="9" xfId="0" applyNumberFormat="1" applyFill="1" applyBorder="1" applyAlignment="1">
      <alignment horizontal="center"/>
    </xf>
    <xf numFmtId="177" fontId="35" fillId="2" borderId="9" xfId="0" applyNumberFormat="1" applyFont="1" applyFill="1" applyBorder="1" applyAlignment="1">
      <alignment horizontal="center"/>
    </xf>
    <xf numFmtId="2" fontId="1" fillId="7" borderId="21" xfId="0" applyNumberFormat="1" applyFont="1" applyFill="1" applyBorder="1" applyAlignment="1">
      <alignment horizontal="center"/>
    </xf>
    <xf numFmtId="179" fontId="0" fillId="2" borderId="9" xfId="0" applyNumberFormat="1" applyFill="1" applyBorder="1"/>
    <xf numFmtId="178" fontId="7" fillId="0" borderId="21" xfId="0" applyNumberFormat="1" applyFont="1" applyBorder="1" applyAlignment="1">
      <alignment horizontal="center"/>
    </xf>
    <xf numFmtId="178" fontId="0" fillId="0" borderId="21" xfId="0" applyNumberFormat="1" applyBorder="1" applyAlignment="1">
      <alignment horizontal="center"/>
    </xf>
    <xf numFmtId="179" fontId="33" fillId="0" borderId="0" xfId="0" applyNumberFormat="1" applyFont="1" applyAlignment="1">
      <alignment horizontal="center"/>
    </xf>
    <xf numFmtId="180" fontId="33" fillId="0" borderId="0" xfId="0" applyNumberFormat="1" applyFont="1" applyAlignment="1">
      <alignment horizontal="center"/>
    </xf>
    <xf numFmtId="177" fontId="5" fillId="0" borderId="0" xfId="0" applyNumberFormat="1" applyFont="1" applyAlignment="1">
      <alignment horizontal="center"/>
    </xf>
    <xf numFmtId="177" fontId="33" fillId="0" borderId="0" xfId="0" applyNumberFormat="1" applyFont="1" applyAlignment="1">
      <alignment horizontal="center"/>
    </xf>
    <xf numFmtId="178" fontId="33" fillId="0" borderId="0" xfId="0" applyNumberFormat="1" applyFont="1" applyAlignment="1">
      <alignment horizontal="center"/>
    </xf>
    <xf numFmtId="177" fontId="5" fillId="0" borderId="9" xfId="0" applyNumberFormat="1" applyFont="1" applyBorder="1" applyAlignment="1">
      <alignment horizontal="center"/>
    </xf>
    <xf numFmtId="177" fontId="2" fillId="0" borderId="0" xfId="0" applyNumberFormat="1" applyFont="1" applyAlignment="1">
      <alignment horizontal="center"/>
    </xf>
    <xf numFmtId="177" fontId="5" fillId="5" borderId="9" xfId="0" applyNumberFormat="1" applyFont="1" applyFill="1" applyBorder="1" applyAlignment="1">
      <alignment horizontal="center"/>
    </xf>
    <xf numFmtId="0" fontId="56" fillId="2" borderId="0" xfId="3" applyFont="1" applyFill="1" applyAlignment="1" applyProtection="1">
      <alignment horizontal="center" vertical="top"/>
    </xf>
    <xf numFmtId="0" fontId="54" fillId="5" borderId="0" xfId="3" applyFont="1" applyFill="1" applyAlignment="1" applyProtection="1">
      <protection hidden="1"/>
    </xf>
    <xf numFmtId="181" fontId="8" fillId="5" borderId="11" xfId="0" applyNumberFormat="1" applyFont="1" applyFill="1" applyBorder="1" applyAlignment="1" applyProtection="1">
      <alignment horizontal="center"/>
      <protection hidden="1"/>
    </xf>
    <xf numFmtId="177" fontId="0" fillId="7" borderId="9" xfId="0" applyNumberFormat="1" applyFill="1" applyBorder="1" applyAlignment="1">
      <alignment horizontal="center"/>
    </xf>
    <xf numFmtId="177" fontId="0" fillId="0" borderId="9" xfId="0" applyNumberFormat="1" applyBorder="1" applyAlignment="1">
      <alignment horizontal="center"/>
    </xf>
    <xf numFmtId="181" fontId="0" fillId="0" borderId="0" xfId="0" applyNumberFormat="1" applyAlignment="1">
      <alignment horizontal="center"/>
    </xf>
    <xf numFmtId="181" fontId="5" fillId="0" borderId="0" xfId="0" applyNumberFormat="1" applyFont="1" applyAlignment="1">
      <alignment horizontal="center"/>
    </xf>
    <xf numFmtId="173" fontId="51" fillId="0" borderId="0" xfId="2" applyNumberFormat="1" applyFont="1" applyAlignment="1">
      <alignment horizontal="right" vertical="center"/>
    </xf>
    <xf numFmtId="170" fontId="51" fillId="0" borderId="0" xfId="0" applyNumberFormat="1" applyFont="1" applyAlignment="1">
      <alignment horizontal="right" vertical="center"/>
    </xf>
    <xf numFmtId="168" fontId="51" fillId="0" borderId="0" xfId="2" applyNumberFormat="1" applyFont="1" applyAlignment="1">
      <alignment horizontal="right" vertical="center"/>
    </xf>
    <xf numFmtId="49" fontId="51" fillId="0" borderId="0" xfId="0" quotePrefix="1" applyNumberFormat="1" applyFont="1" applyAlignment="1">
      <alignment horizontal="right" vertical="center" shrinkToFit="1"/>
    </xf>
    <xf numFmtId="166" fontId="51" fillId="0" borderId="0" xfId="0" applyNumberFormat="1" applyFont="1" applyAlignment="1">
      <alignment horizontal="right" vertical="center" shrinkToFit="1"/>
    </xf>
    <xf numFmtId="166" fontId="51" fillId="0" borderId="0" xfId="0" applyNumberFormat="1" applyFont="1" applyAlignment="1">
      <alignment horizontal="right" vertical="center"/>
    </xf>
    <xf numFmtId="173" fontId="51" fillId="0" borderId="0" xfId="0" applyNumberFormat="1" applyFont="1" applyAlignment="1">
      <alignment horizontal="right" vertical="center" shrinkToFit="1"/>
    </xf>
    <xf numFmtId="166" fontId="52" fillId="0" borderId="0" xfId="0" applyNumberFormat="1" applyFont="1" applyAlignment="1">
      <alignment horizontal="right" vertical="center"/>
    </xf>
    <xf numFmtId="170" fontId="51" fillId="0" borderId="0" xfId="0" applyNumberFormat="1" applyFont="1" applyAlignment="1">
      <alignment horizontal="right" vertical="center" shrinkToFit="1"/>
    </xf>
    <xf numFmtId="167" fontId="51" fillId="0" borderId="0" xfId="0" applyNumberFormat="1" applyFont="1" applyAlignment="1">
      <alignment horizontal="right" vertical="center" shrinkToFit="1"/>
    </xf>
    <xf numFmtId="49" fontId="51" fillId="0" borderId="0" xfId="0" applyNumberFormat="1" applyFont="1" applyAlignment="1">
      <alignment horizontal="right" vertical="center" shrinkToFit="1"/>
    </xf>
    <xf numFmtId="173" fontId="52" fillId="0" borderId="0" xfId="0" applyNumberFormat="1" applyFont="1" applyAlignment="1">
      <alignment horizontal="right" vertical="center"/>
    </xf>
    <xf numFmtId="167" fontId="51" fillId="0" borderId="0" xfId="0" applyNumberFormat="1" applyFont="1" applyAlignment="1">
      <alignment horizontal="right" vertical="center"/>
    </xf>
    <xf numFmtId="173" fontId="51" fillId="0" borderId="0" xfId="0" applyNumberFormat="1" applyFont="1" applyAlignment="1">
      <alignment horizontal="right" vertical="center"/>
    </xf>
    <xf numFmtId="168" fontId="51" fillId="0" borderId="0" xfId="0" applyNumberFormat="1" applyFont="1" applyAlignment="1">
      <alignment horizontal="right" vertical="center"/>
    </xf>
    <xf numFmtId="0" fontId="51" fillId="0" borderId="0" xfId="0" applyFont="1" applyAlignment="1">
      <alignment horizontal="right" vertical="center"/>
    </xf>
    <xf numFmtId="0" fontId="29" fillId="0" borderId="0" xfId="0" applyFont="1" applyAlignment="1">
      <alignment horizontal="right" vertical="center"/>
    </xf>
    <xf numFmtId="173" fontId="27" fillId="0" borderId="0" xfId="2" applyNumberFormat="1" applyFont="1" applyAlignment="1">
      <alignment horizontal="right" vertical="center"/>
    </xf>
    <xf numFmtId="49" fontId="27" fillId="0" borderId="0" xfId="0" quotePrefix="1" applyNumberFormat="1" applyFont="1" applyAlignment="1">
      <alignment horizontal="right" vertical="center" shrinkToFit="1"/>
    </xf>
    <xf numFmtId="166" fontId="52" fillId="0" borderId="0" xfId="0" applyNumberFormat="1" applyFont="1" applyAlignment="1">
      <alignment horizontal="right" vertical="center" shrinkToFit="1"/>
    </xf>
    <xf numFmtId="169" fontId="52" fillId="0" borderId="0" xfId="0" applyNumberFormat="1" applyFont="1" applyAlignment="1">
      <alignment horizontal="right" vertical="center"/>
    </xf>
    <xf numFmtId="169" fontId="51" fillId="0" borderId="0" xfId="0" applyNumberFormat="1" applyFont="1" applyAlignment="1">
      <alignment horizontal="right" vertical="center"/>
    </xf>
    <xf numFmtId="1" fontId="0" fillId="0" borderId="0" xfId="0" applyNumberFormat="1"/>
    <xf numFmtId="1" fontId="57" fillId="0" borderId="0" xfId="0" applyNumberFormat="1" applyFont="1"/>
    <xf numFmtId="168" fontId="51" fillId="9" borderId="0" xfId="0" applyNumberFormat="1" applyFont="1" applyFill="1" applyAlignment="1">
      <alignment horizontal="right" vertical="center"/>
    </xf>
    <xf numFmtId="0" fontId="51" fillId="9" borderId="0" xfId="0" applyFont="1" applyFill="1" applyAlignment="1">
      <alignment horizontal="right" vertical="center"/>
    </xf>
    <xf numFmtId="0" fontId="29" fillId="9" borderId="0" xfId="0" applyFont="1" applyFill="1" applyAlignment="1">
      <alignment horizontal="right" vertical="center"/>
    </xf>
    <xf numFmtId="0" fontId="58" fillId="0" borderId="0" xfId="0" applyFont="1" applyAlignment="1">
      <alignment horizontal="left"/>
    </xf>
    <xf numFmtId="2" fontId="7" fillId="0" borderId="0" xfId="0" applyNumberFormat="1" applyFont="1" applyAlignment="1">
      <alignment horizontal="right"/>
    </xf>
    <xf numFmtId="2" fontId="59" fillId="0" borderId="0" xfId="0" applyNumberFormat="1" applyFont="1" applyAlignment="1">
      <alignment horizontal="right"/>
    </xf>
    <xf numFmtId="2" fontId="57" fillId="0" borderId="0" xfId="0" applyNumberFormat="1" applyFont="1" applyAlignment="1">
      <alignment horizontal="left"/>
    </xf>
    <xf numFmtId="164" fontId="5" fillId="0" borderId="9" xfId="0" applyNumberFormat="1" applyFont="1" applyBorder="1" applyAlignment="1">
      <alignment horizontal="center"/>
    </xf>
    <xf numFmtId="49" fontId="0" fillId="0" borderId="0" xfId="0" applyNumberFormat="1"/>
    <xf numFmtId="168" fontId="7" fillId="0" borderId="0" xfId="0" applyNumberFormat="1" applyFont="1" applyAlignment="1">
      <alignment horizontal="center"/>
    </xf>
    <xf numFmtId="168" fontId="59" fillId="0" borderId="0" xfId="0" applyNumberFormat="1" applyFont="1" applyAlignment="1">
      <alignment horizontal="center"/>
    </xf>
    <xf numFmtId="0" fontId="5" fillId="10" borderId="0" xfId="0" applyFont="1" applyFill="1"/>
    <xf numFmtId="0" fontId="5" fillId="10" borderId="0" xfId="0" applyFont="1" applyFill="1" applyProtection="1">
      <protection hidden="1"/>
    </xf>
    <xf numFmtId="0" fontId="31" fillId="10" borderId="0" xfId="0" applyFont="1" applyFill="1" applyProtection="1">
      <protection hidden="1"/>
    </xf>
    <xf numFmtId="0" fontId="5" fillId="10" borderId="0" xfId="3" applyFont="1" applyFill="1" applyAlignment="1" applyProtection="1">
      <protection hidden="1"/>
    </xf>
    <xf numFmtId="0" fontId="0" fillId="11" borderId="0" xfId="0" applyFill="1"/>
    <xf numFmtId="0" fontId="5" fillId="11" borderId="0" xfId="0" applyFont="1" applyFill="1"/>
    <xf numFmtId="14" fontId="0" fillId="11" borderId="0" xfId="0" applyNumberFormat="1" applyFill="1" applyAlignment="1">
      <alignment horizontal="left"/>
    </xf>
    <xf numFmtId="0" fontId="2" fillId="11" borderId="0" xfId="0" applyFont="1" applyFill="1" applyProtection="1">
      <protection hidden="1"/>
    </xf>
    <xf numFmtId="0" fontId="5" fillId="11" borderId="0" xfId="0" applyFont="1" applyFill="1" applyProtection="1">
      <protection hidden="1"/>
    </xf>
    <xf numFmtId="0" fontId="36" fillId="11" borderId="0" xfId="0" applyFont="1" applyFill="1" applyProtection="1">
      <protection hidden="1"/>
    </xf>
    <xf numFmtId="0" fontId="7" fillId="11" borderId="10" xfId="0" applyFont="1" applyFill="1" applyBorder="1" applyProtection="1">
      <protection hidden="1"/>
    </xf>
    <xf numFmtId="0" fontId="7" fillId="11" borderId="11" xfId="0" applyFont="1" applyFill="1" applyBorder="1" applyProtection="1">
      <protection hidden="1"/>
    </xf>
    <xf numFmtId="0" fontId="8" fillId="11" borderId="0" xfId="0" applyFont="1" applyFill="1" applyAlignment="1" applyProtection="1">
      <alignment horizontal="center"/>
      <protection hidden="1"/>
    </xf>
    <xf numFmtId="0" fontId="1" fillId="11" borderId="0" xfId="0" applyFont="1" applyFill="1" applyProtection="1">
      <protection hidden="1"/>
    </xf>
    <xf numFmtId="170" fontId="8" fillId="11" borderId="0" xfId="0" applyNumberFormat="1" applyFont="1" applyFill="1" applyAlignment="1" applyProtection="1">
      <alignment horizontal="center"/>
      <protection hidden="1"/>
    </xf>
    <xf numFmtId="171" fontId="8" fillId="11" borderId="0" xfId="0" applyNumberFormat="1" applyFont="1" applyFill="1" applyAlignment="1" applyProtection="1">
      <alignment horizontal="center"/>
      <protection hidden="1"/>
    </xf>
    <xf numFmtId="0" fontId="9" fillId="11" borderId="0" xfId="0" applyFont="1" applyFill="1" applyAlignment="1" applyProtection="1">
      <alignment horizontal="left"/>
      <protection hidden="1"/>
    </xf>
    <xf numFmtId="0" fontId="7" fillId="11" borderId="0" xfId="0" applyFont="1" applyFill="1" applyProtection="1">
      <protection hidden="1"/>
    </xf>
    <xf numFmtId="175" fontId="8" fillId="11" borderId="10" xfId="0" applyNumberFormat="1" applyFont="1" applyFill="1" applyBorder="1" applyAlignment="1" applyProtection="1">
      <alignment horizontal="center"/>
      <protection hidden="1"/>
    </xf>
    <xf numFmtId="0" fontId="8" fillId="11" borderId="10" xfId="0" applyFont="1" applyFill="1" applyBorder="1" applyAlignment="1" applyProtection="1">
      <alignment horizontal="center"/>
      <protection hidden="1"/>
    </xf>
    <xf numFmtId="1" fontId="8" fillId="11" borderId="0" xfId="0" applyNumberFormat="1" applyFont="1" applyFill="1" applyAlignment="1" applyProtection="1">
      <alignment horizontal="center"/>
      <protection hidden="1"/>
    </xf>
    <xf numFmtId="0" fontId="7" fillId="11" borderId="12" xfId="0" applyFont="1" applyFill="1" applyBorder="1" applyProtection="1">
      <protection hidden="1"/>
    </xf>
    <xf numFmtId="0" fontId="8" fillId="11" borderId="12" xfId="0" applyFont="1" applyFill="1" applyBorder="1" applyAlignment="1" applyProtection="1">
      <alignment horizontal="center"/>
      <protection hidden="1"/>
    </xf>
    <xf numFmtId="0" fontId="8" fillId="11" borderId="11" xfId="0" applyFont="1" applyFill="1" applyBorder="1" applyAlignment="1" applyProtection="1">
      <alignment horizontal="center"/>
      <protection hidden="1"/>
    </xf>
    <xf numFmtId="1" fontId="8" fillId="11" borderId="11" xfId="0" applyNumberFormat="1" applyFont="1" applyFill="1" applyBorder="1" applyAlignment="1" applyProtection="1">
      <alignment horizontal="center"/>
      <protection hidden="1"/>
    </xf>
    <xf numFmtId="164" fontId="8" fillId="11" borderId="11" xfId="0" applyNumberFormat="1" applyFont="1" applyFill="1" applyBorder="1" applyAlignment="1" applyProtection="1">
      <alignment horizontal="center"/>
      <protection hidden="1"/>
    </xf>
    <xf numFmtId="176" fontId="8" fillId="11" borderId="11" xfId="0" applyNumberFormat="1" applyFont="1" applyFill="1" applyBorder="1" applyAlignment="1" applyProtection="1">
      <alignment horizontal="center"/>
      <protection hidden="1"/>
    </xf>
    <xf numFmtId="172" fontId="8" fillId="11" borderId="11" xfId="0" applyNumberFormat="1" applyFont="1" applyFill="1" applyBorder="1" applyAlignment="1" applyProtection="1">
      <alignment horizontal="center"/>
      <protection hidden="1"/>
    </xf>
    <xf numFmtId="3" fontId="8" fillId="11" borderId="11" xfId="0" applyNumberFormat="1" applyFont="1" applyFill="1" applyBorder="1" applyAlignment="1" applyProtection="1">
      <alignment horizontal="center"/>
      <protection hidden="1"/>
    </xf>
    <xf numFmtId="0" fontId="30" fillId="11" borderId="0" xfId="3" applyFont="1" applyFill="1" applyAlignment="1" applyProtection="1">
      <protection hidden="1"/>
    </xf>
    <xf numFmtId="0" fontId="7" fillId="11" borderId="0" xfId="0" applyFont="1" applyFill="1" applyAlignment="1" applyProtection="1">
      <alignment horizontal="right"/>
      <protection hidden="1"/>
    </xf>
    <xf numFmtId="0" fontId="0" fillId="11" borderId="0" xfId="0" applyFill="1" applyProtection="1">
      <protection hidden="1"/>
    </xf>
    <xf numFmtId="0" fontId="1" fillId="11" borderId="0" xfId="0" applyFont="1" applyFill="1" applyAlignment="1" applyProtection="1">
      <alignment horizontal="right"/>
      <protection hidden="1"/>
    </xf>
    <xf numFmtId="164" fontId="5" fillId="0" borderId="0" xfId="0" quotePrefix="1" applyNumberFormat="1" applyFont="1" applyAlignment="1">
      <alignment horizontal="center"/>
    </xf>
    <xf numFmtId="0" fontId="60" fillId="0" borderId="0" xfId="0" applyFont="1"/>
    <xf numFmtId="0" fontId="58" fillId="0" borderId="0" xfId="0" applyFont="1" applyAlignment="1">
      <alignment horizontal="center"/>
    </xf>
    <xf numFmtId="0" fontId="0" fillId="9" borderId="0" xfId="0" applyFill="1"/>
    <xf numFmtId="0" fontId="0" fillId="9" borderId="0" xfId="0" applyFill="1" applyAlignment="1">
      <alignment horizontal="center"/>
    </xf>
    <xf numFmtId="0" fontId="2" fillId="9" borderId="0" xfId="0" applyFont="1" applyFill="1" applyAlignment="1">
      <alignment horizontal="center"/>
    </xf>
    <xf numFmtId="0" fontId="5" fillId="9" borderId="0" xfId="0" applyFont="1" applyFill="1" applyAlignment="1">
      <alignment horizontal="center"/>
    </xf>
    <xf numFmtId="0" fontId="61" fillId="0" borderId="0" xfId="0" applyFont="1" applyAlignment="1">
      <alignment horizontal="center"/>
    </xf>
    <xf numFmtId="0" fontId="62" fillId="0" borderId="0" xfId="0" applyFont="1" applyAlignment="1">
      <alignment horizontal="center"/>
    </xf>
    <xf numFmtId="164" fontId="61" fillId="0" borderId="0" xfId="0" applyNumberFormat="1" applyFont="1" applyAlignment="1">
      <alignment horizontal="center"/>
    </xf>
    <xf numFmtId="0" fontId="62" fillId="0" borderId="0" xfId="0" applyFont="1"/>
    <xf numFmtId="0" fontId="23" fillId="11" borderId="0" xfId="0" applyFont="1" applyFill="1" applyAlignment="1" applyProtection="1">
      <alignment vertical="top"/>
      <protection hidden="1"/>
    </xf>
    <xf numFmtId="1" fontId="58" fillId="0" borderId="0" xfId="0" applyNumberFormat="1" applyFont="1" applyAlignment="1">
      <alignment horizontal="center"/>
    </xf>
    <xf numFmtId="0" fontId="0" fillId="7" borderId="30" xfId="0" applyFill="1" applyBorder="1" applyAlignment="1">
      <alignment horizontal="center" vertical="center"/>
    </xf>
    <xf numFmtId="0" fontId="0" fillId="7" borderId="31" xfId="0" applyFill="1" applyBorder="1" applyAlignment="1">
      <alignment horizontal="center" vertical="center"/>
    </xf>
    <xf numFmtId="0" fontId="0" fillId="7" borderId="32" xfId="0" applyFill="1" applyBorder="1" applyAlignment="1">
      <alignment horizontal="center" vertical="center"/>
    </xf>
    <xf numFmtId="2" fontId="5" fillId="0" borderId="30" xfId="0" applyNumberFormat="1" applyFont="1" applyBorder="1" applyAlignment="1">
      <alignment horizontal="center" vertical="center"/>
    </xf>
    <xf numFmtId="2" fontId="5" fillId="0" borderId="31" xfId="0" applyNumberFormat="1" applyFont="1" applyBorder="1" applyAlignment="1">
      <alignment horizontal="center" vertical="center"/>
    </xf>
    <xf numFmtId="2" fontId="5" fillId="0" borderId="32" xfId="0" applyNumberFormat="1" applyFont="1" applyBorder="1" applyAlignment="1">
      <alignment horizontal="center" vertical="center"/>
    </xf>
    <xf numFmtId="2" fontId="5" fillId="7" borderId="3" xfId="0" applyNumberFormat="1" applyFont="1" applyFill="1" applyBorder="1" applyAlignment="1">
      <alignment horizontal="center" vertical="center"/>
    </xf>
    <xf numFmtId="2" fontId="5" fillId="7" borderId="8" xfId="0" applyNumberFormat="1" applyFont="1" applyFill="1" applyBorder="1" applyAlignment="1">
      <alignment horizontal="center" vertical="center"/>
    </xf>
    <xf numFmtId="2" fontId="7" fillId="0" borderId="9" xfId="0" applyNumberFormat="1" applyFont="1" applyBorder="1" applyAlignment="1">
      <alignment horizontal="center"/>
    </xf>
    <xf numFmtId="0" fontId="23" fillId="11" borderId="0" xfId="0" quotePrefix="1" applyFont="1" applyFill="1" applyAlignment="1" applyProtection="1">
      <alignment horizontal="left" vertical="top"/>
      <protection hidden="1"/>
    </xf>
    <xf numFmtId="0" fontId="23" fillId="5" borderId="0" xfId="0" quotePrefix="1" applyFont="1" applyFill="1" applyAlignment="1" applyProtection="1">
      <alignment horizontal="left" vertical="top"/>
      <protection hidden="1"/>
    </xf>
    <xf numFmtId="0" fontId="23" fillId="5" borderId="0" xfId="0" applyFont="1" applyFill="1" applyAlignment="1" applyProtection="1">
      <alignment horizontal="left" vertical="top"/>
      <protection hidden="1"/>
    </xf>
    <xf numFmtId="2" fontId="7" fillId="0" borderId="21" xfId="0" applyNumberFormat="1" applyFont="1" applyBorder="1" applyAlignment="1">
      <alignment horizontal="center"/>
    </xf>
  </cellXfs>
  <cellStyles count="4">
    <cellStyle name="Hyperlink" xfId="3" builtinId="8"/>
    <cellStyle name="Standaard" xfId="0" builtinId="0"/>
    <cellStyle name="표준_Sheet1" xfId="1" xr:uid="{00000000-0005-0000-0000-000001000000}"/>
    <cellStyle name="표준_Sheet2" xfId="2" xr:uid="{00000000-0005-0000-0000-000002000000}"/>
  </cellStyles>
  <dxfs count="2">
    <dxf>
      <font>
        <condense val="0"/>
        <extend val="0"/>
        <color indexed="55"/>
      </font>
    </dxf>
    <dxf>
      <font>
        <condense val="0"/>
        <extend val="0"/>
        <color indexed="55"/>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Lines="95" dropStyle="combo" dx="16" fmlaLink="BL10" fmlaRange="$I$17:$I$20" sel="1" val="0"/>
</file>

<file path=xl/ctrlProps/ctrlProp10.xml><?xml version="1.0" encoding="utf-8"?>
<formControlPr xmlns="http://schemas.microsoft.com/office/spreadsheetml/2009/9/main" objectType="Drop" dropLines="95" dropStyle="combo" dx="16" fmlaLink="$H$27" fmlaRange="$H$28:$H$30" sel="1" val="0"/>
</file>

<file path=xl/ctrlProps/ctrlProp11.xml><?xml version="1.0" encoding="utf-8"?>
<formControlPr xmlns="http://schemas.microsoft.com/office/spreadsheetml/2009/9/main" objectType="Drop" dropLines="95" dropStyle="combo" dx="16" fmlaLink="BP37" fmlaRange="$I$96:$I$96" sel="1" val="0"/>
</file>

<file path=xl/ctrlProps/ctrlProp2.xml><?xml version="1.0" encoding="utf-8"?>
<formControlPr xmlns="http://schemas.microsoft.com/office/spreadsheetml/2009/9/main" objectType="Drop" dropLines="95" dropStyle="combo" dx="16" fmlaLink="BA2" fmlaRange="$I$27:$I$56" sel="5" val="0"/>
</file>

<file path=xl/ctrlProps/ctrlProp3.xml><?xml version="1.0" encoding="utf-8"?>
<formControlPr xmlns="http://schemas.microsoft.com/office/spreadsheetml/2009/9/main" objectType="Drop" dropLines="95" dropStyle="combo" dx="16" fmlaLink="BE11" fmlaRange="$AZ$2:$AZ$21" sel="3" val="0"/>
</file>

<file path=xl/ctrlProps/ctrlProp4.xml><?xml version="1.0" encoding="utf-8"?>
<formControlPr xmlns="http://schemas.microsoft.com/office/spreadsheetml/2009/9/main" objectType="Drop" dropLines="95" dropStyle="combo" dx="16" fmlaLink="$H$27" fmlaRange="$H$28:$H$30" sel="1" val="0"/>
</file>

<file path=xl/ctrlProps/ctrlProp5.xml><?xml version="1.0" encoding="utf-8"?>
<formControlPr xmlns="http://schemas.microsoft.com/office/spreadsheetml/2009/9/main" objectType="Drop" dropLines="95" dropStyle="combo" dx="16" fmlaLink="BP37" fmlaRange="$I$96:$I$98" sel="1" val="0"/>
</file>

<file path=xl/ctrlProps/ctrlProp6.xml><?xml version="1.0" encoding="utf-8"?>
<formControlPr xmlns="http://schemas.microsoft.com/office/spreadsheetml/2009/9/main" objectType="Drop" dropLines="6" dropStyle="combo" dx="16" fmlaLink="BT5" fmlaRange="$I$7:$I$9" sel="1" val="0"/>
</file>

<file path=xl/ctrlProps/ctrlProp7.xml><?xml version="1.0" encoding="utf-8"?>
<formControlPr xmlns="http://schemas.microsoft.com/office/spreadsheetml/2009/9/main" objectType="Drop" dropLines="95" dropStyle="combo" dx="16" fmlaLink="BL10" fmlaRange="$I$17:$I$20" sel="2" val="0"/>
</file>

<file path=xl/ctrlProps/ctrlProp8.xml><?xml version="1.0" encoding="utf-8"?>
<formControlPr xmlns="http://schemas.microsoft.com/office/spreadsheetml/2009/9/main" objectType="Drop" dropLines="95" dropStyle="combo" dx="16" fmlaLink="BA2" fmlaRange="$I$27:$I$56" sel="2" val="0"/>
</file>

<file path=xl/ctrlProps/ctrlProp9.xml><?xml version="1.0" encoding="utf-8"?>
<formControlPr xmlns="http://schemas.microsoft.com/office/spreadsheetml/2009/9/main" objectType="Drop" dropLines="95" dropStyle="combo" dx="16" fmlaLink="BE11" fmlaRange="$AZ$2:$AZ$21" sel="1" val="0"/>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123825</xdr:rowOff>
        </xdr:from>
        <xdr:to>
          <xdr:col>3</xdr:col>
          <xdr:colOff>0</xdr:colOff>
          <xdr:row>7</xdr:row>
          <xdr:rowOff>142875</xdr:rowOff>
        </xdr:to>
        <xdr:sp macro="" textlink="">
          <xdr:nvSpPr>
            <xdr:cNvPr id="5121" name="Drop Dow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152400</xdr:rowOff>
        </xdr:from>
        <xdr:to>
          <xdr:col>3</xdr:col>
          <xdr:colOff>0</xdr:colOff>
          <xdr:row>13</xdr:row>
          <xdr:rowOff>171450</xdr:rowOff>
        </xdr:to>
        <xdr:sp macro="" textlink="">
          <xdr:nvSpPr>
            <xdr:cNvPr id="5122" name="Drop Dow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57150</xdr:rowOff>
        </xdr:from>
        <xdr:to>
          <xdr:col>3</xdr:col>
          <xdr:colOff>0</xdr:colOff>
          <xdr:row>15</xdr:row>
          <xdr:rowOff>76200</xdr:rowOff>
        </xdr:to>
        <xdr:sp macro="" textlink="">
          <xdr:nvSpPr>
            <xdr:cNvPr id="5123" name="Drop Down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xdr:row>
          <xdr:rowOff>104775</xdr:rowOff>
        </xdr:from>
        <xdr:to>
          <xdr:col>5</xdr:col>
          <xdr:colOff>1962150</xdr:colOff>
          <xdr:row>4</xdr:row>
          <xdr:rowOff>123825</xdr:rowOff>
        </xdr:to>
        <xdr:sp macro="" textlink="">
          <xdr:nvSpPr>
            <xdr:cNvPr id="5124" name="Drop Dow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9525</xdr:rowOff>
        </xdr:from>
        <xdr:to>
          <xdr:col>3</xdr:col>
          <xdr:colOff>0</xdr:colOff>
          <xdr:row>6</xdr:row>
          <xdr:rowOff>28575</xdr:rowOff>
        </xdr:to>
        <xdr:sp macro="" textlink="">
          <xdr:nvSpPr>
            <xdr:cNvPr id="5126" name="Drop Down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57150</xdr:rowOff>
        </xdr:from>
        <xdr:to>
          <xdr:col>5</xdr:col>
          <xdr:colOff>1962150</xdr:colOff>
          <xdr:row>31</xdr:row>
          <xdr:rowOff>19050</xdr:rowOff>
        </xdr:to>
        <xdr:pic>
          <xdr:nvPicPr>
            <xdr:cNvPr id="11662" name="Picture 15" descr="ggggg">
              <a:extLst>
                <a:ext uri="{FF2B5EF4-FFF2-40B4-BE49-F238E27FC236}">
                  <a16:creationId xmlns:a16="http://schemas.microsoft.com/office/drawing/2014/main" id="{00000000-0008-0000-0000-00008E2D0000}"/>
                </a:ext>
              </a:extLst>
            </xdr:cNvPr>
            <xdr:cNvPicPr>
              <a:picLocks noChangeAspect="1" noChangeArrowheads="1"/>
              <a:extLst>
                <a:ext uri="{84589F7E-364E-4C9E-8A38-B11213B215E9}">
                  <a14:cameraTool cellRange="그림검색" spid="_x0000_s11806"/>
                </a:ext>
              </a:extLst>
            </xdr:cNvPicPr>
          </xdr:nvPicPr>
          <xdr:blipFill>
            <a:blip xmlns:r="http://schemas.openxmlformats.org/officeDocument/2006/relationships" r:embed="rId1"/>
            <a:srcRect l="2066" t="926" r="1033" b="926"/>
            <a:stretch>
              <a:fillRect/>
            </a:stretch>
          </xdr:blipFill>
          <xdr:spPr bwMode="auto">
            <a:xfrm>
              <a:off x="4486275" y="1847850"/>
              <a:ext cx="1933575" cy="4362450"/>
            </a:xfrm>
            <a:prstGeom prst="rect">
              <a:avLst/>
            </a:prstGeom>
            <a:noFill/>
            <a:ln w="9525">
              <a:solidFill>
                <a:srgbClr val="FFCC99" mc:Ignorable="a14" a14:legacySpreadsheetColorIndex="47"/>
              </a:solidFill>
              <a:miter lim="800000"/>
              <a:headEnd/>
              <a:tailEnd/>
            </a:ln>
            <a:extLst>
              <a:ext uri="{909E8E84-426E-40DD-AFC4-6F175D3DCCD1}">
                <a14:hiddenFill>
                  <a:solidFill>
                    <a:srgbClr val="FFFFFF"/>
                  </a:solidFill>
                </a14:hiddenFill>
              </a:ext>
            </a:extLst>
          </xdr:spPr>
        </xdr:pic>
        <xdr:clientData/>
      </xdr:twoCellAnchor>
    </mc:Choice>
    <mc:Fallback/>
  </mc:AlternateContent>
  <xdr:twoCellAnchor>
    <xdr:from>
      <xdr:col>5</xdr:col>
      <xdr:colOff>504825</xdr:colOff>
      <xdr:row>5</xdr:row>
      <xdr:rowOff>19050</xdr:rowOff>
    </xdr:from>
    <xdr:to>
      <xdr:col>5</xdr:col>
      <xdr:colOff>1962150</xdr:colOff>
      <xdr:row>6</xdr:row>
      <xdr:rowOff>47625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962525" y="1009650"/>
          <a:ext cx="1457325"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altLang="ko-KR" sz="1200"/>
            <a:t>UNIT</a:t>
          </a:r>
          <a:r>
            <a:rPr lang="en-US" altLang="ko-KR" sz="1200" baseline="0"/>
            <a:t> : METRIC</a:t>
          </a:r>
          <a:endParaRPr lang="ko-KR" altLang="en-US" sz="1200"/>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3</xdr:row>
          <xdr:rowOff>95250</xdr:rowOff>
        </xdr:from>
        <xdr:to>
          <xdr:col>3</xdr:col>
          <xdr:colOff>9525</xdr:colOff>
          <xdr:row>4</xdr:row>
          <xdr:rowOff>114300</xdr:rowOff>
        </xdr:to>
        <xdr:sp macro="" textlink="">
          <xdr:nvSpPr>
            <xdr:cNvPr id="11734" name="Drop Down 1494" hidden="1">
              <a:extLst>
                <a:ext uri="{63B3BB69-23CF-44E3-9099-C40C66FF867C}">
                  <a14:compatExt spid="_x0000_s11734"/>
                </a:ext>
                <a:ext uri="{FF2B5EF4-FFF2-40B4-BE49-F238E27FC236}">
                  <a16:creationId xmlns:a16="http://schemas.microsoft.com/office/drawing/2014/main" id="{00000000-0008-0000-0000-0000D62D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123825</xdr:rowOff>
        </xdr:from>
        <xdr:to>
          <xdr:col>3</xdr:col>
          <xdr:colOff>0</xdr:colOff>
          <xdr:row>7</xdr:row>
          <xdr:rowOff>142875</xdr:rowOff>
        </xdr:to>
        <xdr:sp macro="" textlink="">
          <xdr:nvSpPr>
            <xdr:cNvPr id="7169" name="Drop Down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152400</xdr:rowOff>
        </xdr:from>
        <xdr:to>
          <xdr:col>3</xdr:col>
          <xdr:colOff>0</xdr:colOff>
          <xdr:row>13</xdr:row>
          <xdr:rowOff>171450</xdr:rowOff>
        </xdr:to>
        <xdr:sp macro="" textlink="">
          <xdr:nvSpPr>
            <xdr:cNvPr id="7170" name="Drop Down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57150</xdr:rowOff>
        </xdr:from>
        <xdr:to>
          <xdr:col>3</xdr:col>
          <xdr:colOff>0</xdr:colOff>
          <xdr:row>15</xdr:row>
          <xdr:rowOff>76200</xdr:rowOff>
        </xdr:to>
        <xdr:sp macro="" textlink="">
          <xdr:nvSpPr>
            <xdr:cNvPr id="7171" name="Drop Down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3</xdr:row>
          <xdr:rowOff>85725</xdr:rowOff>
        </xdr:from>
        <xdr:to>
          <xdr:col>5</xdr:col>
          <xdr:colOff>1962150</xdr:colOff>
          <xdr:row>4</xdr:row>
          <xdr:rowOff>104775</xdr:rowOff>
        </xdr:to>
        <xdr:sp macro="" textlink="">
          <xdr:nvSpPr>
            <xdr:cNvPr id="7172" name="Drop Down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19050</xdr:rowOff>
        </xdr:from>
        <xdr:to>
          <xdr:col>3</xdr:col>
          <xdr:colOff>0</xdr:colOff>
          <xdr:row>6</xdr:row>
          <xdr:rowOff>38100</xdr:rowOff>
        </xdr:to>
        <xdr:sp macro="" textlink="">
          <xdr:nvSpPr>
            <xdr:cNvPr id="7173" name="Drop Down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xdr:row>
          <xdr:rowOff>19050</xdr:rowOff>
        </xdr:from>
        <xdr:to>
          <xdr:col>5</xdr:col>
          <xdr:colOff>1952625</xdr:colOff>
          <xdr:row>29</xdr:row>
          <xdr:rowOff>180975</xdr:rowOff>
        </xdr:to>
        <xdr:pic>
          <xdr:nvPicPr>
            <xdr:cNvPr id="13465" name="Picture 15" descr="ggggg">
              <a:extLst>
                <a:ext uri="{FF2B5EF4-FFF2-40B4-BE49-F238E27FC236}">
                  <a16:creationId xmlns:a16="http://schemas.microsoft.com/office/drawing/2014/main" id="{00000000-0008-0000-0100-000099340000}"/>
                </a:ext>
              </a:extLst>
            </xdr:cNvPr>
            <xdr:cNvPicPr>
              <a:picLocks noChangeAspect="1" noChangeArrowheads="1"/>
              <a:extLst>
                <a:ext uri="{84589F7E-364E-4C9E-8A38-B11213B215E9}">
                  <a14:cameraTool cellRange="그림검색2" spid="_x0000_s13608"/>
                </a:ext>
              </a:extLst>
            </xdr:cNvPicPr>
          </xdr:nvPicPr>
          <xdr:blipFill>
            <a:blip xmlns:r="http://schemas.openxmlformats.org/officeDocument/2006/relationships" r:embed="rId1"/>
            <a:srcRect l="2066" t="926" r="1033" b="926"/>
            <a:stretch>
              <a:fillRect/>
            </a:stretch>
          </xdr:blipFill>
          <xdr:spPr bwMode="auto">
            <a:xfrm>
              <a:off x="4486275" y="1609725"/>
              <a:ext cx="1924050" cy="4362450"/>
            </a:xfrm>
            <a:prstGeom prst="rect">
              <a:avLst/>
            </a:prstGeom>
            <a:noFill/>
            <a:ln w="9525">
              <a:solidFill>
                <a:srgbClr val="FFCC99" mc:Ignorable="a14" a14:legacySpreadsheetColorIndex="47"/>
              </a:solidFill>
              <a:miter lim="800000"/>
              <a:headEnd/>
              <a:tailEnd/>
            </a:ln>
            <a:extLst>
              <a:ext uri="{909E8E84-426E-40DD-AFC4-6F175D3DCCD1}">
                <a14:hiddenFill>
                  <a:solidFill>
                    <a:srgbClr val="FFFFFF"/>
                  </a:solidFill>
                </a14:hiddenFill>
              </a:ext>
            </a:extLst>
          </xdr:spPr>
        </xdr:pic>
        <xdr:clientData/>
      </xdr:twoCellAnchor>
    </mc:Choice>
    <mc:Fallback/>
  </mc:AlternateContent>
  <xdr:twoCellAnchor>
    <xdr:from>
      <xdr:col>5</xdr:col>
      <xdr:colOff>504825</xdr:colOff>
      <xdr:row>5</xdr:row>
      <xdr:rowOff>19050</xdr:rowOff>
    </xdr:from>
    <xdr:to>
      <xdr:col>5</xdr:col>
      <xdr:colOff>1962150</xdr:colOff>
      <xdr:row>6</xdr:row>
      <xdr:rowOff>47625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962525" y="1009650"/>
          <a:ext cx="1457325" cy="228600"/>
        </a:xfrm>
        <a:prstGeom prst="rect">
          <a:avLst/>
        </a:prstGeom>
        <a:solidFill>
          <a:schemeClr val="lt1"/>
        </a:solidFill>
        <a:ln w="9525"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altLang="ko-KR" sz="1200" b="0">
              <a:latin typeface="+mn-lt"/>
              <a:ea typeface="+mj-ea"/>
              <a:cs typeface="Arial" pitchFamily="34" charset="0"/>
            </a:rPr>
            <a:t>UNIT</a:t>
          </a:r>
          <a:r>
            <a:rPr lang="en-US" altLang="ko-KR" sz="1200" b="0" baseline="0">
              <a:latin typeface="+mn-lt"/>
              <a:ea typeface="+mj-ea"/>
              <a:cs typeface="Arial" pitchFamily="34" charset="0"/>
            </a:rPr>
            <a:t> : INCH</a:t>
          </a:r>
          <a:endParaRPr lang="ko-KR" altLang="en-US" sz="1200" b="0">
            <a:latin typeface="+mn-lt"/>
            <a:ea typeface="+mj-ea"/>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xdr:colOff>
      <xdr:row>1</xdr:row>
      <xdr:rowOff>19050</xdr:rowOff>
    </xdr:to>
    <xdr:pic>
      <xdr:nvPicPr>
        <xdr:cNvPr id="11008" name="Picture 29" descr="그림TM">
          <a:extLst>
            <a:ext uri="{FF2B5EF4-FFF2-40B4-BE49-F238E27FC236}">
              <a16:creationId xmlns:a16="http://schemas.microsoft.com/office/drawing/2014/main" id="{00000000-0008-0000-0400-0000002B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43075" cy="389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pic>
    <xdr:clientData/>
  </xdr:twoCellAnchor>
  <xdr:twoCellAnchor editAs="oneCell">
    <xdr:from>
      <xdr:col>0</xdr:col>
      <xdr:colOff>0</xdr:colOff>
      <xdr:row>1</xdr:row>
      <xdr:rowOff>0</xdr:rowOff>
    </xdr:from>
    <xdr:to>
      <xdr:col>1</xdr:col>
      <xdr:colOff>9525</xdr:colOff>
      <xdr:row>2</xdr:row>
      <xdr:rowOff>19050</xdr:rowOff>
    </xdr:to>
    <xdr:pic>
      <xdr:nvPicPr>
        <xdr:cNvPr id="11009" name="Picture 30" descr="그림TMC">
          <a:extLst>
            <a:ext uri="{FF2B5EF4-FFF2-40B4-BE49-F238E27FC236}">
              <a16:creationId xmlns:a16="http://schemas.microsoft.com/office/drawing/2014/main" id="{00000000-0008-0000-0400-0000012B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876675"/>
          <a:ext cx="1743075" cy="389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7038</xdr:colOff>
      <xdr:row>2</xdr:row>
      <xdr:rowOff>0</xdr:rowOff>
    </xdr:from>
    <xdr:to>
      <xdr:col>1</xdr:col>
      <xdr:colOff>7038</xdr:colOff>
      <xdr:row>3</xdr:row>
      <xdr:rowOff>19050</xdr:rowOff>
    </xdr:to>
    <xdr:pic>
      <xdr:nvPicPr>
        <xdr:cNvPr id="11010" name="Picture 31" descr="그림DTMC">
          <a:extLst>
            <a:ext uri="{FF2B5EF4-FFF2-40B4-BE49-F238E27FC236}">
              <a16:creationId xmlns:a16="http://schemas.microsoft.com/office/drawing/2014/main" id="{00000000-0008-0000-0400-0000022B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38" y="7751379"/>
          <a:ext cx="1734207" cy="3894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xdr:colOff>
      <xdr:row>1</xdr:row>
      <xdr:rowOff>19050</xdr:rowOff>
    </xdr:to>
    <xdr:pic>
      <xdr:nvPicPr>
        <xdr:cNvPr id="12557" name="Picture 29" descr="그림TM">
          <a:extLst>
            <a:ext uri="{FF2B5EF4-FFF2-40B4-BE49-F238E27FC236}">
              <a16:creationId xmlns:a16="http://schemas.microsoft.com/office/drawing/2014/main" id="{00000000-0008-0000-0500-00000D3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43075" cy="389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pic>
    <xdr:clientData/>
  </xdr:twoCellAnchor>
  <xdr:twoCellAnchor editAs="oneCell">
    <xdr:from>
      <xdr:col>0</xdr:col>
      <xdr:colOff>0</xdr:colOff>
      <xdr:row>1</xdr:row>
      <xdr:rowOff>0</xdr:rowOff>
    </xdr:from>
    <xdr:to>
      <xdr:col>1</xdr:col>
      <xdr:colOff>9525</xdr:colOff>
      <xdr:row>2</xdr:row>
      <xdr:rowOff>19050</xdr:rowOff>
    </xdr:to>
    <xdr:pic>
      <xdr:nvPicPr>
        <xdr:cNvPr id="12558" name="Picture 30" descr="그림TMC">
          <a:extLst>
            <a:ext uri="{FF2B5EF4-FFF2-40B4-BE49-F238E27FC236}">
              <a16:creationId xmlns:a16="http://schemas.microsoft.com/office/drawing/2014/main" id="{00000000-0008-0000-0500-00000E3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876675"/>
          <a:ext cx="1743075" cy="389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7327</xdr:colOff>
      <xdr:row>2</xdr:row>
      <xdr:rowOff>0</xdr:rowOff>
    </xdr:from>
    <xdr:to>
      <xdr:col>1</xdr:col>
      <xdr:colOff>7327</xdr:colOff>
      <xdr:row>3</xdr:row>
      <xdr:rowOff>19050</xdr:rowOff>
    </xdr:to>
    <xdr:pic>
      <xdr:nvPicPr>
        <xdr:cNvPr id="12559" name="Picture 31" descr="그림DTMC">
          <a:extLst>
            <a:ext uri="{FF2B5EF4-FFF2-40B4-BE49-F238E27FC236}">
              <a16:creationId xmlns:a16="http://schemas.microsoft.com/office/drawing/2014/main" id="{00000000-0008-0000-0500-00000F3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27" y="7751885"/>
          <a:ext cx="1736481" cy="3894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JA239"/>
  <sheetViews>
    <sheetView showGridLines="0" showRowColHeaders="0" tabSelected="1" topLeftCell="A16" zoomScaleNormal="100" zoomScaleSheetLayoutView="100" workbookViewId="0">
      <selection activeCell="C12" sqref="C12"/>
    </sheetView>
  </sheetViews>
  <sheetFormatPr defaultColWidth="8.125" defaultRowHeight="15.95" customHeight="1"/>
  <cols>
    <col min="1" max="1" width="2.75" customWidth="1"/>
    <col min="2" max="2" width="37.75" customWidth="1"/>
    <col min="3" max="3" width="7.875" customWidth="1"/>
    <col min="4" max="4" width="7.25" customWidth="1"/>
    <col min="5" max="5" width="2.875" customWidth="1"/>
    <col min="6" max="6" width="27.875" style="5" customWidth="1"/>
    <col min="7" max="7" width="40.75" style="5" customWidth="1"/>
    <col min="8" max="8" width="11.875" hidden="1" customWidth="1"/>
    <col min="9" max="9" width="37.875" style="5" hidden="1" customWidth="1"/>
    <col min="10" max="11" width="19.5" style="5" hidden="1" customWidth="1"/>
    <col min="12" max="12" width="16" style="5" hidden="1" customWidth="1"/>
    <col min="13" max="13" width="9.25" style="5" hidden="1" customWidth="1"/>
    <col min="14" max="14" width="9.375" style="5" hidden="1" customWidth="1"/>
    <col min="15" max="15" width="13" style="5" hidden="1" customWidth="1"/>
    <col min="16" max="16" width="11.625" style="5" hidden="1" customWidth="1"/>
    <col min="17" max="28" width="19.5" style="5" hidden="1" customWidth="1"/>
    <col min="29" max="29" width="9" hidden="1" customWidth="1"/>
    <col min="30" max="30" width="9" style="4" hidden="1" customWidth="1"/>
    <col min="31" max="31" width="5.375" style="4" hidden="1" customWidth="1"/>
    <col min="32" max="32" width="6.25" style="4" hidden="1" customWidth="1"/>
    <col min="33" max="33" width="8" style="4" hidden="1" customWidth="1"/>
    <col min="34" max="34" width="26" hidden="1" customWidth="1"/>
    <col min="35" max="38" width="6.25" hidden="1" customWidth="1"/>
    <col min="39" max="39" width="7.5" hidden="1" customWidth="1"/>
    <col min="40" max="40" width="5.625" hidden="1" customWidth="1"/>
    <col min="41" max="41" width="12" hidden="1" customWidth="1"/>
    <col min="42" max="42" width="8.875" style="35" hidden="1" customWidth="1"/>
    <col min="43" max="43" width="10.125" style="16" hidden="1" customWidth="1"/>
    <col min="44" max="45" width="9" style="16" hidden="1" customWidth="1"/>
    <col min="46" max="46" width="11.75" style="16" hidden="1" customWidth="1"/>
    <col min="47" max="47" width="9" style="16" hidden="1" customWidth="1"/>
    <col min="48" max="49" width="9" hidden="1" customWidth="1"/>
    <col min="50" max="50" width="27.125" hidden="1" customWidth="1"/>
    <col min="51" max="51" width="9" hidden="1" customWidth="1"/>
    <col min="52" max="52" width="28.5" hidden="1" customWidth="1"/>
    <col min="53" max="53" width="9" hidden="1" customWidth="1"/>
    <col min="54" max="54" width="7.25" hidden="1" customWidth="1"/>
    <col min="55" max="56" width="9.125" hidden="1" customWidth="1"/>
    <col min="57" max="57" width="10.5" hidden="1" customWidth="1"/>
    <col min="58" max="59" width="9" hidden="1" customWidth="1"/>
    <col min="60" max="60" width="11.75" hidden="1" customWidth="1"/>
    <col min="61" max="61" width="9" hidden="1" customWidth="1"/>
    <col min="62" max="62" width="11.75" hidden="1" customWidth="1"/>
    <col min="63" max="63" width="12.625" hidden="1" customWidth="1"/>
    <col min="64" max="64" width="11" hidden="1" customWidth="1"/>
    <col min="65" max="65" width="6.125" hidden="1" customWidth="1"/>
    <col min="66" max="66" width="7.25" hidden="1" customWidth="1"/>
    <col min="67" max="67" width="13" hidden="1" customWidth="1"/>
    <col min="68" max="68" width="9" style="16" hidden="1" customWidth="1"/>
    <col min="69" max="69" width="10.125" hidden="1" customWidth="1"/>
    <col min="70" max="70" width="9" hidden="1" customWidth="1"/>
    <col min="71" max="71" width="12" hidden="1" customWidth="1"/>
    <col min="72" max="74" width="10.875" hidden="1" customWidth="1"/>
    <col min="75" max="75" width="35.625" style="54" hidden="1" customWidth="1"/>
    <col min="76" max="76" width="35.625" style="23" hidden="1" customWidth="1"/>
    <col min="77" max="77" width="34.5" style="23" hidden="1" customWidth="1"/>
    <col min="78" max="78" width="34" style="23" hidden="1" customWidth="1"/>
    <col min="79" max="80" width="31.25" style="23" hidden="1" customWidth="1"/>
    <col min="81" max="81" width="32.75" style="4" hidden="1" customWidth="1"/>
    <col min="82" max="82" width="31.25" style="23" hidden="1" customWidth="1"/>
    <col min="83" max="108" width="26.25" style="23" hidden="1" customWidth="1"/>
    <col min="109" max="109" width="25.375" style="23" hidden="1" customWidth="1"/>
    <col min="110" max="110" width="26.25" style="23" hidden="1" customWidth="1"/>
    <col min="111" max="111" width="25.375" style="23" hidden="1" customWidth="1"/>
    <col min="112" max="112" width="26.25" style="23" hidden="1" customWidth="1"/>
    <col min="113" max="113" width="25.375" style="23" hidden="1" customWidth="1"/>
    <col min="114" max="114" width="26.25" style="23" hidden="1" customWidth="1"/>
    <col min="115" max="115" width="25.375" style="23" hidden="1" customWidth="1"/>
    <col min="116" max="116" width="26.25" style="23" hidden="1" customWidth="1"/>
    <col min="117" max="117" width="25.375" style="23" hidden="1" customWidth="1"/>
    <col min="118" max="118" width="26.25" style="23" hidden="1" customWidth="1"/>
    <col min="119" max="119" width="25.375" style="23" hidden="1" customWidth="1"/>
    <col min="120" max="136" width="26.25" style="23" hidden="1" customWidth="1"/>
    <col min="137" max="137" width="39.875" style="23" hidden="1" customWidth="1"/>
    <col min="138" max="138" width="38.875" style="23" hidden="1" customWidth="1"/>
    <col min="139" max="139" width="38.25" style="23" hidden="1" customWidth="1"/>
    <col min="140" max="140" width="35.625" style="23" hidden="1" customWidth="1"/>
    <col min="141" max="141" width="38.25" style="23" hidden="1" customWidth="1"/>
    <col min="142" max="142" width="43.375" style="23" hidden="1" customWidth="1"/>
    <col min="143" max="143" width="38.25" style="23" hidden="1" customWidth="1"/>
    <col min="144" max="144" width="8.125" style="24" hidden="1" customWidth="1"/>
    <col min="145" max="145" width="15.125" hidden="1" customWidth="1"/>
    <col min="146" max="153" width="8.125" hidden="1" customWidth="1"/>
    <col min="154" max="155" width="5.375" hidden="1" customWidth="1"/>
    <col min="156" max="158" width="5.375" style="16" hidden="1" customWidth="1"/>
    <col min="159" max="159" width="8.125" style="25" hidden="1" customWidth="1"/>
    <col min="160" max="160" width="11" style="16" hidden="1" customWidth="1"/>
    <col min="161" max="168" width="8.125" style="16" hidden="1" customWidth="1"/>
    <col min="169" max="170" width="6" style="16" hidden="1" customWidth="1"/>
    <col min="171" max="173" width="6" hidden="1" customWidth="1"/>
    <col min="174" max="174" width="8.125" style="24" hidden="1" customWidth="1"/>
    <col min="175" max="175" width="11.375" style="53" hidden="1" customWidth="1"/>
    <col min="176" max="178" width="8.125" style="53" hidden="1" customWidth="1"/>
    <col min="179" max="179" width="8.125" style="24" hidden="1" customWidth="1"/>
    <col min="180" max="183" width="8.125" hidden="1" customWidth="1"/>
    <col min="184" max="184" width="8.125" style="15" hidden="1" customWidth="1"/>
    <col min="185" max="188" width="8.125" style="14" hidden="1" customWidth="1"/>
    <col min="189" max="189" width="5.25" style="15" hidden="1" customWidth="1"/>
    <col min="190" max="202" width="8.125" style="14" hidden="1" customWidth="1"/>
    <col min="203" max="203" width="8.125" style="15" hidden="1" customWidth="1"/>
    <col min="204" max="216" width="8.125" style="14" hidden="1" customWidth="1"/>
    <col min="217" max="217" width="8.125" style="24" hidden="1" customWidth="1"/>
    <col min="218" max="218" width="15.125" hidden="1" customWidth="1"/>
    <col min="219" max="225" width="8.125" hidden="1" customWidth="1"/>
    <col min="226" max="226" width="8.125" style="24" hidden="1" customWidth="1"/>
    <col min="227" max="227" width="15.125" hidden="1" customWidth="1"/>
    <col min="228" max="234" width="8.125" hidden="1" customWidth="1"/>
    <col min="235" max="235" width="8.125" style="16" hidden="1" customWidth="1"/>
    <col min="236" max="240" width="5.375" style="14" hidden="1" customWidth="1"/>
    <col min="241" max="241" width="8.125" style="25" hidden="1" customWidth="1"/>
    <col min="242" max="242" width="11" style="16" hidden="1" customWidth="1"/>
    <col min="243" max="245" width="8.125" style="16" hidden="1" customWidth="1"/>
    <col min="246" max="246" width="8.125" style="25" hidden="1" customWidth="1"/>
    <col min="247" max="247" width="11" style="16" hidden="1" customWidth="1"/>
    <col min="248" max="255" width="8.125" style="16" hidden="1" customWidth="1"/>
    <col min="256" max="257" width="6.125" style="16" hidden="1" customWidth="1"/>
    <col min="258" max="260" width="6.125" hidden="1" customWidth="1"/>
    <col min="261" max="269" width="0" style="14" hidden="1" customWidth="1"/>
    <col min="270" max="16384" width="8.125" style="14"/>
  </cols>
  <sheetData>
    <row r="1" spans="1:260" ht="15" customHeight="1">
      <c r="A1" s="390"/>
      <c r="B1" s="438" t="s">
        <v>1965</v>
      </c>
      <c r="C1" s="438"/>
      <c r="D1" s="438"/>
      <c r="E1" s="438"/>
      <c r="F1" s="438"/>
      <c r="G1" s="384"/>
      <c r="J1" s="21" t="s">
        <v>1317</v>
      </c>
      <c r="K1" s="21" t="s">
        <v>1316</v>
      </c>
      <c r="L1" s="85" t="s">
        <v>381</v>
      </c>
      <c r="M1" s="21" t="s">
        <v>686</v>
      </c>
      <c r="N1" s="21" t="s">
        <v>1399</v>
      </c>
      <c r="O1" s="21" t="s">
        <v>1306</v>
      </c>
      <c r="P1" s="21" t="s">
        <v>1307</v>
      </c>
      <c r="Q1" s="21" t="s">
        <v>1304</v>
      </c>
      <c r="R1" s="21" t="s">
        <v>1308</v>
      </c>
      <c r="S1" s="21" t="s">
        <v>1309</v>
      </c>
      <c r="T1" s="21" t="s">
        <v>1305</v>
      </c>
      <c r="U1" s="21" t="s">
        <v>1112</v>
      </c>
      <c r="V1" s="21" t="s">
        <v>687</v>
      </c>
      <c r="W1" s="21" t="s">
        <v>621</v>
      </c>
      <c r="X1" s="21" t="s">
        <v>216</v>
      </c>
      <c r="Y1" s="44" t="s">
        <v>1449</v>
      </c>
      <c r="Z1" s="21" t="s">
        <v>570</v>
      </c>
      <c r="AA1" s="48" t="s">
        <v>1330</v>
      </c>
      <c r="AB1" s="21" t="s">
        <v>685</v>
      </c>
      <c r="AD1" s="3" t="s">
        <v>717</v>
      </c>
      <c r="AE1" s="3" t="s">
        <v>669</v>
      </c>
      <c r="AF1" s="3" t="s">
        <v>791</v>
      </c>
      <c r="AG1" s="3" t="s">
        <v>1038</v>
      </c>
      <c r="AH1" s="1" t="s">
        <v>617</v>
      </c>
      <c r="AI1" s="2" t="s">
        <v>618</v>
      </c>
      <c r="AJ1" s="2" t="s">
        <v>619</v>
      </c>
      <c r="AK1" s="2" t="s">
        <v>620</v>
      </c>
      <c r="AL1" s="2" t="s">
        <v>1373</v>
      </c>
      <c r="AM1" s="2" t="s">
        <v>1374</v>
      </c>
      <c r="AN1" s="2" t="s">
        <v>1375</v>
      </c>
      <c r="AO1" s="133" t="s">
        <v>1238</v>
      </c>
      <c r="AP1" s="34" t="s">
        <v>442</v>
      </c>
      <c r="AQ1" s="85" t="s">
        <v>1239</v>
      </c>
      <c r="AR1" s="85" t="s">
        <v>1240</v>
      </c>
      <c r="AS1" s="85" t="s">
        <v>1241</v>
      </c>
      <c r="AT1" s="85" t="s">
        <v>1242</v>
      </c>
      <c r="AU1" s="85" t="s">
        <v>1243</v>
      </c>
      <c r="AZ1" s="21" t="s">
        <v>441</v>
      </c>
      <c r="BA1" s="56"/>
      <c r="BB1" s="57"/>
      <c r="BC1" s="57"/>
      <c r="BD1" s="57"/>
      <c r="BE1" s="56"/>
      <c r="BF1" s="58"/>
      <c r="EO1" s="22" t="s">
        <v>127</v>
      </c>
      <c r="HJ1" s="22" t="s">
        <v>443</v>
      </c>
      <c r="HS1" s="179" t="s">
        <v>730</v>
      </c>
      <c r="IM1" s="22" t="s">
        <v>1758</v>
      </c>
    </row>
    <row r="2" spans="1:260" ht="15.95" customHeight="1">
      <c r="A2" s="390"/>
      <c r="B2" s="438"/>
      <c r="C2" s="438"/>
      <c r="D2" s="438"/>
      <c r="E2" s="438"/>
      <c r="F2" s="438"/>
      <c r="G2" s="385" t="str">
        <f>LOOKUP(BT5,H82:H88,I82:I88)</f>
        <v>CNC program for Fanuc</v>
      </c>
      <c r="J2" s="8">
        <v>1</v>
      </c>
      <c r="K2" s="8">
        <v>2</v>
      </c>
      <c r="L2" s="8">
        <v>3</v>
      </c>
      <c r="M2" s="8">
        <v>4</v>
      </c>
      <c r="N2" s="8">
        <v>5</v>
      </c>
      <c r="O2" s="8">
        <v>6</v>
      </c>
      <c r="P2" s="8">
        <v>7</v>
      </c>
      <c r="Q2" s="8">
        <v>8</v>
      </c>
      <c r="R2" s="8">
        <v>9</v>
      </c>
      <c r="S2" s="8">
        <v>10</v>
      </c>
      <c r="T2" s="8">
        <v>11</v>
      </c>
      <c r="U2" s="8">
        <v>12</v>
      </c>
      <c r="V2" s="8">
        <v>13</v>
      </c>
      <c r="W2" s="8">
        <v>14</v>
      </c>
      <c r="X2" s="8">
        <v>15</v>
      </c>
      <c r="Y2" s="8">
        <v>16</v>
      </c>
      <c r="Z2" s="8">
        <v>17</v>
      </c>
      <c r="AA2" s="8">
        <v>18</v>
      </c>
      <c r="AB2" s="8">
        <v>19</v>
      </c>
      <c r="AD2" s="131">
        <v>1</v>
      </c>
      <c r="AE2" s="365">
        <v>1</v>
      </c>
      <c r="AF2" s="365">
        <v>4</v>
      </c>
      <c r="AG2" s="365">
        <v>1</v>
      </c>
      <c r="AH2" s="366" t="s">
        <v>1721</v>
      </c>
      <c r="AI2" s="352">
        <v>10</v>
      </c>
      <c r="AJ2" s="352">
        <v>9.9</v>
      </c>
      <c r="AK2" s="354">
        <v>6</v>
      </c>
      <c r="AL2" s="367">
        <v>1.75</v>
      </c>
      <c r="AM2" s="356">
        <v>25.2</v>
      </c>
      <c r="AN2" s="357">
        <v>73</v>
      </c>
      <c r="AO2" s="349">
        <v>11.6</v>
      </c>
      <c r="AP2" s="55">
        <f t="shared" ref="AP2:AP33" si="0">IF(BP$37&lt;=AE2,AD2)</f>
        <v>1</v>
      </c>
      <c r="AQ2" s="16" t="b">
        <f t="shared" ref="AQ2:AQ65" si="1">IF(C$9&gt;=AO2,AD2)</f>
        <v>0</v>
      </c>
      <c r="AR2" s="16" t="b">
        <f t="shared" ref="AR2:AR65" si="2">IF(C$10=AL2,AD2)</f>
        <v>0</v>
      </c>
      <c r="AS2" s="16">
        <f t="shared" ref="AS2:AS65" si="3">IF(C$11&lt;=AM2,AD2)</f>
        <v>1</v>
      </c>
      <c r="AT2" s="16">
        <f t="shared" ref="AT2:AT65" si="4">IF(AG2=BL$10,AD2)</f>
        <v>1</v>
      </c>
      <c r="AU2" s="16" t="b">
        <f t="shared" ref="AU2:AU65" si="5">IF(AP2=FALSE,FALSE,IF(AQ2=FALSE,FALSE,IF(AR2=FALSE,FALSE,IF(AS2=FALSE,FALSE,IF(AT2=FALSE,FALSE,AD2)))))</f>
        <v>0</v>
      </c>
      <c r="AV2">
        <f>LOOKUP(9999,AU$2:AU$235)</f>
        <v>112</v>
      </c>
      <c r="AW2">
        <f t="shared" ref="AW2:AW21" si="6">AV2-1</f>
        <v>111</v>
      </c>
      <c r="AX2" t="str">
        <f t="shared" ref="AX2:AX21" si="7">LOOKUP(AV2,AD$2:AD$235,AH$2:AH$235)</f>
        <v>M06060C17.5 1.25P L1211360</v>
      </c>
      <c r="AY2" t="b">
        <f t="shared" ref="AY2:AY21" si="8">ISNA(AX2)</f>
        <v>0</v>
      </c>
      <c r="AZ2" t="str">
        <f t="shared" ref="AZ2:AZ21" si="9">IF(AY2=FALSE,AX2,"")</f>
        <v>M06060C17.5 1.25P L1211360</v>
      </c>
      <c r="BA2" s="59">
        <v>5</v>
      </c>
      <c r="BB2" s="7" t="s">
        <v>554</v>
      </c>
      <c r="BC2" s="7" t="s">
        <v>588</v>
      </c>
      <c r="BD2" s="7" t="s">
        <v>589</v>
      </c>
      <c r="BE2" s="74" t="s">
        <v>554</v>
      </c>
      <c r="BF2" s="60" t="s">
        <v>555</v>
      </c>
      <c r="BH2" s="8"/>
      <c r="BI2" s="8"/>
      <c r="BX2" s="381">
        <v>0</v>
      </c>
      <c r="BY2" s="381">
        <f>IF(BT5&gt;1,IF(BT5&gt;2,13,12),11)</f>
        <v>11</v>
      </c>
      <c r="BZ2" s="381">
        <f>IF(BT5&gt;1,IF(BT5&gt;2,23,22),21)</f>
        <v>21</v>
      </c>
      <c r="CA2" s="382">
        <f>IF(BT5&gt;1,IF(BT5&gt;2,113,112),111)</f>
        <v>111</v>
      </c>
      <c r="CB2" s="382">
        <f>IF(BT5&gt;1,IF(BT5&gt;2,123,122),121)</f>
        <v>121</v>
      </c>
      <c r="CC2" s="382">
        <f>IF(BT5&gt;1,IF(BT5&gt;2,1013,1012),1011)</f>
        <v>1011</v>
      </c>
      <c r="CD2" s="382">
        <f>IF(BT5&gt;1,IF(BT5&gt;2,1023,1022),1021)</f>
        <v>1021</v>
      </c>
      <c r="CE2" s="381">
        <f>IF(BT5&gt;1,IF(BT5&gt;2,1113,1112),1111)</f>
        <v>1111</v>
      </c>
      <c r="CF2" s="381">
        <f>IF(BT5&gt;1,IF(BT5&gt;2,1123,1122),1121)</f>
        <v>1121</v>
      </c>
      <c r="CG2" s="381">
        <f>IF(BT5&gt;1,IF(BT5&gt;2,1213,1212),1211)</f>
        <v>1211</v>
      </c>
      <c r="CH2" s="381">
        <f>IF(BT5&gt;1,IF(BT5&gt;2,1223,1222),1221)</f>
        <v>1221</v>
      </c>
      <c r="CI2" s="381">
        <f>IF(BT5&gt;1,IF(BT5&gt;2,1313,1312),1311)</f>
        <v>1311</v>
      </c>
      <c r="CJ2" s="381">
        <f>IF(BT5&gt;1,IF(BT5&gt;2,1323,1322),1321)</f>
        <v>1321</v>
      </c>
      <c r="CK2" s="381">
        <f>IF(BT5&gt;1,IF(BT5&gt;2,1413,1412),1411)</f>
        <v>1411</v>
      </c>
      <c r="CL2" s="381">
        <f>IF(BT5&gt;1,IF(BT5&gt;2,1423,1422),1421)</f>
        <v>1421</v>
      </c>
      <c r="CM2" s="381">
        <f>IF(BT5&gt;1,IF(BT5&gt;2,1513,1512),1511)</f>
        <v>1511</v>
      </c>
      <c r="CN2" s="381">
        <f>IF(BT5&gt;1,IF(BT5&gt;2,1523,1522),1521)</f>
        <v>1521</v>
      </c>
      <c r="CO2" s="381">
        <f>IF(BT5&gt;1,IF(BT5&gt;2,1613,1612),1611)</f>
        <v>1611</v>
      </c>
      <c r="CP2" s="381">
        <f>IF(BT5&gt;1,IF(BT5&gt;2,1623,1622),1621)</f>
        <v>1621</v>
      </c>
      <c r="CQ2" s="381">
        <f>IF(BT5&gt;1,IF(BT5&gt;2,1713,1712),1711)</f>
        <v>1711</v>
      </c>
      <c r="CR2" s="381">
        <f>IF(BT5&gt;1,IF(BT5&gt;2,1723,1722),1721)</f>
        <v>1721</v>
      </c>
      <c r="CS2" s="381">
        <f>IF(BT5&gt;1,IF(BT5&gt;2,1813,1812),1811)</f>
        <v>1811</v>
      </c>
      <c r="CT2" s="381">
        <f>IF(BT5&gt;1,IF(BT5&gt;2,1823,1822),1821)</f>
        <v>1821</v>
      </c>
      <c r="CU2" s="381">
        <f>IF(BT5&gt;1,IF(BT5&gt;2,1913,1912),1911)</f>
        <v>1911</v>
      </c>
      <c r="CV2" s="381">
        <f>IF(BT5&gt;1,IF(BT5&gt;2,1923,1922),1921)</f>
        <v>1921</v>
      </c>
      <c r="CW2" s="381">
        <f>IF(BT5&gt;1,IF(BT5&gt;2,2013,2012),2011)</f>
        <v>2011</v>
      </c>
      <c r="CX2" s="381">
        <f>IF(BT5&gt;1,IF(BT5&gt;2,2023,2022),2021)</f>
        <v>2021</v>
      </c>
      <c r="CY2" s="381">
        <f>IF(BT5&gt;1,IF(BT5&gt;2,2113,2112),2111)</f>
        <v>2111</v>
      </c>
      <c r="CZ2" s="381">
        <f>IF(BT5&gt;1,IF(BT5&gt;2,2123,2122),2121)</f>
        <v>2121</v>
      </c>
      <c r="DA2" s="381">
        <f>IF(BT5&gt;1,IF(BT5&gt;2,2213,2212),2211)</f>
        <v>2211</v>
      </c>
      <c r="DB2" s="381">
        <f>IF(BT5&gt;1,IF(BT5&gt;2,2223,2222),2221)</f>
        <v>2221</v>
      </c>
      <c r="DC2" s="381">
        <f>IF(BT5&gt;1,IF(BT5&gt;2,2313,2312),2311)</f>
        <v>2311</v>
      </c>
      <c r="DD2" s="381">
        <f>IF(BT5&gt;1,IF(BT5&gt;2,2323,2322),2321)</f>
        <v>2321</v>
      </c>
      <c r="DE2" s="381">
        <f>IF(BT5&gt;1,IF(BT5&gt;2,3113,3112),3111)</f>
        <v>3111</v>
      </c>
      <c r="DF2" s="381">
        <f>IF(BT5&gt;1,IF(BT5&gt;2,3123,3122),3121)</f>
        <v>3121</v>
      </c>
      <c r="DG2" s="381">
        <f>IF(BT5&gt;1,IF(BT5&gt;2,3213,3212),3211)</f>
        <v>3211</v>
      </c>
      <c r="DH2" s="381">
        <f>IF(BT5&gt;1,IF(BT5&gt;2,3223,3222),3221)</f>
        <v>3221</v>
      </c>
      <c r="DI2" s="381">
        <f>IF(BT5&gt;1,IF(BT5&gt;2,3313,3312),3311)</f>
        <v>3311</v>
      </c>
      <c r="DJ2" s="381">
        <f>IF(BT5&gt;1,IF(BT5&gt;2,3323,3322),3321)</f>
        <v>3321</v>
      </c>
      <c r="DK2" s="381">
        <f>IF(BT5&gt;1,IF(BT5&gt;2,3413,3412),3411)</f>
        <v>3411</v>
      </c>
      <c r="DL2" s="381">
        <f>IF(BT5&gt;1,IF(BT5&gt;2,3423,3422),3421)</f>
        <v>3421</v>
      </c>
      <c r="DM2" s="381">
        <f>IF(BT5&gt;1,IF(BT5&gt;2,3513,3512),3511)</f>
        <v>3511</v>
      </c>
      <c r="DN2" s="381">
        <f>IF(BT5&gt;1,IF(BT5&gt;2,3523,3522),3521)</f>
        <v>3521</v>
      </c>
      <c r="DO2" s="381">
        <f>IF(BT5&gt;1,IF(BT5&gt;2,3613,3612),3611)</f>
        <v>3611</v>
      </c>
      <c r="DP2" s="381">
        <f>IF(BT5&gt;1,IF(BT5&gt;2,3623,3622),3621)</f>
        <v>3621</v>
      </c>
      <c r="DQ2" s="381">
        <f>IF(BT5&gt;1,IF(BT5&gt;2,3713,3712),3711)</f>
        <v>3711</v>
      </c>
      <c r="DR2" s="381">
        <f>IF(BT5&gt;1,IF(BT5&gt;2,3723,3722),3721)</f>
        <v>3721</v>
      </c>
      <c r="DS2" s="381">
        <f>IF(BT5&gt;1,IF(BT5&gt;2,3813,3812),3811)</f>
        <v>3811</v>
      </c>
      <c r="DT2" s="381">
        <f>IF(BT5&gt;1,IF(BT5&gt;2,3823,3822),3821)</f>
        <v>3821</v>
      </c>
      <c r="DU2" s="381">
        <f>IF(BT5&gt;1,IF(BT5&gt;2,3913,3912),3911)</f>
        <v>3911</v>
      </c>
      <c r="DV2" s="381">
        <f>IF(BT5&gt;1,IF(BT5&gt;2,3923,3922),3921)</f>
        <v>3921</v>
      </c>
      <c r="DW2" s="381">
        <f>IF(BT5&gt;1,IF(BT5&gt;2,4013,4012),4011)</f>
        <v>4011</v>
      </c>
      <c r="DX2" s="381">
        <f>IF(BT5&gt;1,IF(BT5&gt;2,4023,4022),4021)</f>
        <v>4021</v>
      </c>
      <c r="DY2" s="381">
        <f>IF(BT5&gt;1,IF(BT5&gt;2,4113,4112),4111)</f>
        <v>4111</v>
      </c>
      <c r="DZ2" s="381">
        <f>IF(BT5&gt;1,IF(BT5&gt;2,4123,4122),4121)</f>
        <v>4121</v>
      </c>
      <c r="EA2" s="381">
        <f>IF(BT5&gt;1,IF(BT5&gt;2,4213,4212),4211)</f>
        <v>4211</v>
      </c>
      <c r="EB2" s="381">
        <f>IF(BT5&gt;1,IF(BT5&gt;2,4223,4222),4221)</f>
        <v>4221</v>
      </c>
      <c r="EC2" s="381">
        <f>IF(BT5&gt;1,IF(BT5&gt;2,4313,4312),4311)</f>
        <v>4311</v>
      </c>
      <c r="ED2" s="381">
        <f>IF(BT5&gt;1,IF(BT5&gt;2,4323,4322),4321)</f>
        <v>4321</v>
      </c>
      <c r="EE2" s="381">
        <f>IF(BT5&gt;1,IF(BT5&gt;2,4413,4412),4411)</f>
        <v>4411</v>
      </c>
      <c r="EF2" s="381">
        <f>IF(BT5&gt;1,IF(BT5&gt;2,4423,4422),4421)</f>
        <v>4421</v>
      </c>
      <c r="EG2" s="381">
        <f>IF(BT5&gt;1,IF(BT5&gt;2,10013,10012),10011)</f>
        <v>10011</v>
      </c>
      <c r="EH2" s="381">
        <f>IF(BT5&gt;1,IF(BT5&gt;2,10023,10022),10021)</f>
        <v>10021</v>
      </c>
      <c r="EI2" s="381">
        <f>IF(BT5&gt;1,IF(BT5&gt;2,100013,100012),100011)</f>
        <v>100011</v>
      </c>
      <c r="EJ2" s="381">
        <f>IF(BT5&gt;1,IF(BT5&gt;2,100023,100022),100021)</f>
        <v>100021</v>
      </c>
      <c r="EK2" s="381">
        <f>IF(BT5&gt;1,IF(BT5&gt;2,110013,110012),110011)</f>
        <v>110011</v>
      </c>
      <c r="EL2" s="381">
        <f>IF(BT5&gt;1,IF(BT5&gt;2,110023,110022),110021)</f>
        <v>110021</v>
      </c>
      <c r="EM2" s="381">
        <f>IF(BT5&gt;1,IF(BT5&gt;2,200013,200012),200011)</f>
        <v>200011</v>
      </c>
      <c r="HJ2" s="22" t="s">
        <v>444</v>
      </c>
      <c r="HS2" s="22"/>
    </row>
    <row r="3" spans="1:260" ht="15.95" customHeight="1">
      <c r="A3" s="390"/>
      <c r="B3" s="392" t="str">
        <f>I3</f>
        <v>☞ Internal Thread Milling in Machining Center</v>
      </c>
      <c r="C3" s="427"/>
      <c r="D3" s="427"/>
      <c r="E3" s="427"/>
      <c r="F3" s="427"/>
      <c r="G3" s="384" t="str">
        <f>IF(BW3=0,"",BW3)</f>
        <v>G90 G00 G57 X0. Y0.</v>
      </c>
      <c r="I3" s="5" t="str">
        <f>LOOKUP(H$27,J$2:L$2,J3:L3)</f>
        <v>☞ Internal Thread Milling in Machining Center</v>
      </c>
      <c r="J3" s="136" t="s">
        <v>1244</v>
      </c>
      <c r="K3" s="136" t="s">
        <v>1245</v>
      </c>
      <c r="L3" s="40" t="s">
        <v>1246</v>
      </c>
      <c r="M3" s="5" t="s">
        <v>266</v>
      </c>
      <c r="N3" s="5" t="s">
        <v>1437</v>
      </c>
      <c r="O3" s="5" t="s">
        <v>1332</v>
      </c>
      <c r="P3" s="5" t="s">
        <v>1062</v>
      </c>
      <c r="Q3" s="5" t="s">
        <v>1116</v>
      </c>
      <c r="R3" s="5" t="s">
        <v>500</v>
      </c>
      <c r="S3" s="5" t="s">
        <v>1257</v>
      </c>
      <c r="T3" s="5" t="s">
        <v>1441</v>
      </c>
      <c r="U3" s="5" t="s">
        <v>1284</v>
      </c>
      <c r="V3" s="5" t="s">
        <v>571</v>
      </c>
      <c r="W3" s="5" t="s">
        <v>590</v>
      </c>
      <c r="X3" s="38" t="s">
        <v>399</v>
      </c>
      <c r="Y3" s="43" t="s">
        <v>1760</v>
      </c>
      <c r="Z3" s="39" t="s">
        <v>1761</v>
      </c>
      <c r="AA3" s="417" t="s">
        <v>1762</v>
      </c>
      <c r="AB3" s="5" t="s">
        <v>1091</v>
      </c>
      <c r="AD3" s="131">
        <v>2</v>
      </c>
      <c r="AE3" s="365">
        <v>1</v>
      </c>
      <c r="AF3" s="365">
        <v>4</v>
      </c>
      <c r="AG3" s="365">
        <v>1</v>
      </c>
      <c r="AH3" s="366" t="s">
        <v>1722</v>
      </c>
      <c r="AI3" s="352">
        <v>10</v>
      </c>
      <c r="AJ3" s="352">
        <v>8.1999999999999993</v>
      </c>
      <c r="AK3" s="354">
        <v>6</v>
      </c>
      <c r="AL3" s="367">
        <v>1.5</v>
      </c>
      <c r="AM3" s="356">
        <v>21</v>
      </c>
      <c r="AN3" s="357">
        <v>73</v>
      </c>
      <c r="AO3" s="349">
        <v>9.6</v>
      </c>
      <c r="AP3" s="55">
        <f t="shared" si="0"/>
        <v>2</v>
      </c>
      <c r="AQ3" s="16" t="b">
        <f t="shared" si="1"/>
        <v>0</v>
      </c>
      <c r="AR3" s="16" t="b">
        <f t="shared" si="2"/>
        <v>0</v>
      </c>
      <c r="AS3" s="16">
        <f t="shared" si="3"/>
        <v>2</v>
      </c>
      <c r="AT3" s="16">
        <f t="shared" si="4"/>
        <v>2</v>
      </c>
      <c r="AU3" s="16" t="b">
        <f t="shared" si="5"/>
        <v>0</v>
      </c>
      <c r="AV3">
        <f t="shared" ref="AV3:AV21" si="10">LOOKUP(AW2,AU$2:AU$235)</f>
        <v>89</v>
      </c>
      <c r="AW3">
        <f t="shared" si="6"/>
        <v>88</v>
      </c>
      <c r="AX3" t="str">
        <f t="shared" si="7"/>
        <v>M06060C21.25 1.25P L111H360</v>
      </c>
      <c r="AY3" t="b">
        <f t="shared" si="8"/>
        <v>0</v>
      </c>
      <c r="AZ3" t="str">
        <f t="shared" si="9"/>
        <v>M06060C21.25 1.25P L111H360</v>
      </c>
      <c r="BA3" s="61">
        <v>1</v>
      </c>
      <c r="BB3" s="157">
        <v>100</v>
      </c>
      <c r="BC3" s="158">
        <v>0.04</v>
      </c>
      <c r="BD3" s="158">
        <v>7.0000000000000007E-2</v>
      </c>
      <c r="BE3" s="115">
        <f>LOOKUP(BA2,BA3:BA32,BB3:BB32)</f>
        <v>80</v>
      </c>
      <c r="BF3" s="62">
        <f>IF(BE13&gt;8,LOOKUP(BA2,BA3:BA32,BD3:BD32),LOOKUP(BA2,BA3:BA32,BC3:BC32))</f>
        <v>2.5000000000000001E-2</v>
      </c>
      <c r="BH3" s="11"/>
      <c r="BI3" s="10"/>
      <c r="BK3" s="72"/>
      <c r="BL3" s="73">
        <f>C10</f>
        <v>1.25</v>
      </c>
      <c r="BM3" s="58"/>
      <c r="BV3" s="8">
        <v>1</v>
      </c>
      <c r="BW3" s="54" t="str">
        <f>LOOKUP(BT$54,BX$2:EM$2,BX3:EM3)</f>
        <v>G90 G00 G57 X0. Y0.</v>
      </c>
      <c r="BY3" s="23" t="str">
        <f>CONCATENATE(EO3,EP3,EQ3,ER3,ES3,ET3,EU3,EV3,EW3,EX3,EY3,EZ3,FA3,FB3)</f>
        <v>G90 G00 G57 X0. Y0.</v>
      </c>
      <c r="BZ3" s="23" t="str">
        <f>BY3</f>
        <v>G90 G00 G57 X0. Y0.</v>
      </c>
      <c r="CA3" s="23" t="str">
        <f>BY3</f>
        <v>G90 G00 G57 X0. Y0.</v>
      </c>
      <c r="CB3" s="23" t="str">
        <f>BZ3</f>
        <v>G90 G00 G57 X0. Y0.</v>
      </c>
      <c r="CC3" s="4" t="str">
        <f>BY3</f>
        <v>G90 G00 G57 X0. Y0.</v>
      </c>
      <c r="CD3" s="23" t="str">
        <f>BZ3</f>
        <v>G90 G00 G57 X0. Y0.</v>
      </c>
      <c r="CE3" s="23" t="str">
        <f>BY3</f>
        <v>G90 G00 G57 X0. Y0.</v>
      </c>
      <c r="CF3" s="23" t="str">
        <f>BZ3</f>
        <v>G90 G00 G57 X0. Y0.</v>
      </c>
      <c r="CG3" s="23" t="str">
        <f>CE3</f>
        <v>G90 G00 G57 X0. Y0.</v>
      </c>
      <c r="CH3" s="23" t="str">
        <f>$CF$3</f>
        <v>G90 G00 G57 X0. Y0.</v>
      </c>
      <c r="CI3" s="23" t="str">
        <f>CG3</f>
        <v>G90 G00 G57 X0. Y0.</v>
      </c>
      <c r="CJ3" s="23" t="str">
        <f>$CF$3</f>
        <v>G90 G00 G57 X0. Y0.</v>
      </c>
      <c r="CK3" s="23" t="str">
        <f>CG3</f>
        <v>G90 G00 G57 X0. Y0.</v>
      </c>
      <c r="CL3" s="23" t="str">
        <f>$CF$3</f>
        <v>G90 G00 G57 X0. Y0.</v>
      </c>
      <c r="CM3" s="23" t="str">
        <f>CG3</f>
        <v>G90 G00 G57 X0. Y0.</v>
      </c>
      <c r="CN3" s="23" t="str">
        <f>$CF$3</f>
        <v>G90 G00 G57 X0. Y0.</v>
      </c>
      <c r="CO3" s="23" t="str">
        <f>CG3</f>
        <v>G90 G00 G57 X0. Y0.</v>
      </c>
      <c r="CP3" s="23" t="str">
        <f>$CF$3</f>
        <v>G90 G00 G57 X0. Y0.</v>
      </c>
      <c r="CQ3" s="23" t="str">
        <f>CG3</f>
        <v>G90 G00 G57 X0. Y0.</v>
      </c>
      <c r="CR3" s="23" t="str">
        <f>$CF$3</f>
        <v>G90 G00 G57 X0. Y0.</v>
      </c>
      <c r="CS3" s="23" t="str">
        <f>CG3</f>
        <v>G90 G00 G57 X0. Y0.</v>
      </c>
      <c r="CT3" s="23" t="str">
        <f>$CF$3</f>
        <v>G90 G00 G57 X0. Y0.</v>
      </c>
      <c r="CU3" s="23" t="str">
        <f>CG3</f>
        <v>G90 G00 G57 X0. Y0.</v>
      </c>
      <c r="CV3" s="23" t="str">
        <f>$CF$3</f>
        <v>G90 G00 G57 X0. Y0.</v>
      </c>
      <c r="CW3" s="23" t="str">
        <f>CG3</f>
        <v>G90 G00 G57 X0. Y0.</v>
      </c>
      <c r="CX3" s="23" t="str">
        <f>$CF$3</f>
        <v>G90 G00 G57 X0. Y0.</v>
      </c>
      <c r="CY3" s="23" t="str">
        <f>CG3</f>
        <v>G90 G00 G57 X0. Y0.</v>
      </c>
      <c r="CZ3" s="23" t="str">
        <f>$CF$3</f>
        <v>G90 G00 G57 X0. Y0.</v>
      </c>
      <c r="DA3" s="23" t="str">
        <f>CG3</f>
        <v>G90 G00 G57 X0. Y0.</v>
      </c>
      <c r="DB3" s="23" t="str">
        <f>$CF$3</f>
        <v>G90 G00 G57 X0. Y0.</v>
      </c>
      <c r="DC3" s="23" t="str">
        <f>CG3</f>
        <v>G90 G00 G57 X0. Y0.</v>
      </c>
      <c r="DD3" s="23" t="str">
        <f>$CF$3</f>
        <v>G90 G00 G57 X0. Y0.</v>
      </c>
      <c r="DE3" s="23" t="str">
        <f>CONCATENATE(IM3,IN3,IO3,IP3,IQ3,IR3,IS3,IT3,IU3,IV3,IW3,IX3,IY3,IZ3)</f>
        <v>G90 G00 G57 X0. Y0.</v>
      </c>
      <c r="DF3" s="23" t="str">
        <f>CONCATENATE(IM3,IN3,IO3,IP3,IQ3,IR3,IS3,IT3,IU3,IV3,IW3,IX3,IY3,IZ3)</f>
        <v>G90 G00 G57 X0. Y0.</v>
      </c>
      <c r="DG3" s="23" t="str">
        <f>$DE$3</f>
        <v>G90 G00 G57 X0. Y0.</v>
      </c>
      <c r="DH3" s="23" t="str">
        <f>$DF$3</f>
        <v>G90 G00 G57 X0. Y0.</v>
      </c>
      <c r="DI3" s="23" t="str">
        <f>$DE$3</f>
        <v>G90 G00 G57 X0. Y0.</v>
      </c>
      <c r="DJ3" s="23" t="str">
        <f>$DF$3</f>
        <v>G90 G00 G57 X0. Y0.</v>
      </c>
      <c r="DK3" s="23" t="str">
        <f>$DE$3</f>
        <v>G90 G00 G57 X0. Y0.</v>
      </c>
      <c r="DL3" s="23" t="str">
        <f>$DF$3</f>
        <v>G90 G00 G57 X0. Y0.</v>
      </c>
      <c r="DM3" s="23" t="str">
        <f>$DE$3</f>
        <v>G90 G00 G57 X0. Y0.</v>
      </c>
      <c r="DN3" s="23" t="str">
        <f>$DF$3</f>
        <v>G90 G00 G57 X0. Y0.</v>
      </c>
      <c r="DO3" s="23" t="str">
        <f>$DE$3</f>
        <v>G90 G00 G57 X0. Y0.</v>
      </c>
      <c r="DP3" s="23" t="str">
        <f>$DF$3</f>
        <v>G90 G00 G57 X0. Y0.</v>
      </c>
      <c r="DQ3" s="23" t="str">
        <f>$DE$3</f>
        <v>G90 G00 G57 X0. Y0.</v>
      </c>
      <c r="DR3" s="23" t="str">
        <f>$DF$3</f>
        <v>G90 G00 G57 X0. Y0.</v>
      </c>
      <c r="DS3" s="23" t="str">
        <f>$DE$3</f>
        <v>G90 G00 G57 X0. Y0.</v>
      </c>
      <c r="DT3" s="23" t="str">
        <f>$DF$3</f>
        <v>G90 G00 G57 X0. Y0.</v>
      </c>
      <c r="DU3" s="23" t="str">
        <f>$DE$3</f>
        <v>G90 G00 G57 X0. Y0.</v>
      </c>
      <c r="DV3" s="23" t="str">
        <f>$DF$3</f>
        <v>G90 G00 G57 X0. Y0.</v>
      </c>
      <c r="DW3" s="23" t="str">
        <f>$DE$3</f>
        <v>G90 G00 G57 X0. Y0.</v>
      </c>
      <c r="DX3" s="23" t="str">
        <f>$DF$3</f>
        <v>G90 G00 G57 X0. Y0.</v>
      </c>
      <c r="DY3" s="23" t="str">
        <f>$DE$3</f>
        <v>G90 G00 G57 X0. Y0.</v>
      </c>
      <c r="DZ3" s="23" t="str">
        <f>$DF$3</f>
        <v>G90 G00 G57 X0. Y0.</v>
      </c>
      <c r="EA3" s="23" t="str">
        <f>$DE$3</f>
        <v>G90 G00 G57 X0. Y0.</v>
      </c>
      <c r="EB3" s="23" t="str">
        <f>$DF$3</f>
        <v>G90 G00 G57 X0. Y0.</v>
      </c>
      <c r="EC3" s="23" t="str">
        <f>$DE$3</f>
        <v>G90 G00 G57 X0. Y0.</v>
      </c>
      <c r="ED3" s="23" t="str">
        <f>$DF$3</f>
        <v>G90 G00 G57 X0. Y0.</v>
      </c>
      <c r="EE3" s="23" t="str">
        <f>$DE$3</f>
        <v>G90 G00 G57 X0. Y0.</v>
      </c>
      <c r="EF3" s="23" t="str">
        <f>$DF$3</f>
        <v>G90 G00 G57 X0. Y0.</v>
      </c>
      <c r="EG3" s="23" t="str">
        <f>BY3</f>
        <v>G90 G00 G57 X0. Y0.</v>
      </c>
      <c r="EH3" s="23" t="str">
        <f>BZ3</f>
        <v>G90 G00 G57 X0. Y0.</v>
      </c>
      <c r="EI3" s="23" t="str">
        <f>CA3</f>
        <v>G90 G00 G57 X0. Y0.</v>
      </c>
      <c r="EJ3" s="23" t="str">
        <f>BZ3</f>
        <v>G90 G00 G57 X0. Y0.</v>
      </c>
      <c r="EK3" s="23" t="str">
        <f>EG3</f>
        <v>G90 G00 G57 X0. Y0.</v>
      </c>
      <c r="EL3" s="23" t="str">
        <f>EH3</f>
        <v>G90 G00 G57 X0. Y0.</v>
      </c>
      <c r="EM3" s="23" t="str">
        <f>CONCATENATE(HS3,HT3,HU3,HV3,HW3,HX3,HY3,HZ3,IA3,IB3,IC3,ID3,IE3,IF3)</f>
        <v>G90 G00 G57 X0. Y0.</v>
      </c>
      <c r="EN3" s="26">
        <v>1</v>
      </c>
      <c r="EO3" s="14" t="s">
        <v>446</v>
      </c>
      <c r="EP3" s="14" t="s">
        <v>175</v>
      </c>
      <c r="EQ3" s="14" t="s">
        <v>176</v>
      </c>
      <c r="ER3" s="14" t="s">
        <v>1350</v>
      </c>
      <c r="ES3" s="14" t="s">
        <v>1351</v>
      </c>
      <c r="ET3" s="8"/>
      <c r="EU3" s="14"/>
      <c r="EV3" s="14"/>
      <c r="EW3" s="14"/>
      <c r="EX3" s="14"/>
      <c r="EY3" s="14"/>
      <c r="HI3" s="26"/>
      <c r="HJ3" s="14"/>
      <c r="HK3" s="14"/>
      <c r="HL3" s="14"/>
      <c r="HM3" s="14"/>
      <c r="HN3" s="14"/>
      <c r="HO3" s="8"/>
      <c r="HP3" s="14"/>
      <c r="HQ3" s="14"/>
      <c r="HR3" s="26">
        <v>1</v>
      </c>
      <c r="HS3" s="14" t="s">
        <v>446</v>
      </c>
      <c r="HT3" s="14" t="s">
        <v>175</v>
      </c>
      <c r="HU3" s="14" t="s">
        <v>176</v>
      </c>
      <c r="HV3" s="14" t="s">
        <v>1350</v>
      </c>
      <c r="HW3" s="14" t="s">
        <v>1351</v>
      </c>
      <c r="HX3" s="8"/>
      <c r="HY3" s="14"/>
      <c r="HZ3" s="14"/>
      <c r="IL3" s="26">
        <v>1</v>
      </c>
      <c r="IM3" s="14" t="s">
        <v>446</v>
      </c>
      <c r="IN3" s="14" t="s">
        <v>175</v>
      </c>
      <c r="IO3" s="14" t="s">
        <v>176</v>
      </c>
      <c r="IP3" s="14" t="s">
        <v>1350</v>
      </c>
      <c r="IQ3" s="14" t="s">
        <v>1351</v>
      </c>
    </row>
    <row r="4" spans="1:260" ht="15.95" customHeight="1">
      <c r="A4" s="390"/>
      <c r="B4" s="392"/>
      <c r="C4" s="390"/>
      <c r="D4" s="390"/>
      <c r="E4" s="390"/>
      <c r="F4" s="391"/>
      <c r="G4" s="384" t="str">
        <f>IF(BW6=0,"",BW6)</f>
        <v>G43 H10 Z3. M3 S4244</v>
      </c>
      <c r="L4" s="40"/>
      <c r="M4" s="5" t="s">
        <v>267</v>
      </c>
      <c r="N4" s="5" t="s">
        <v>1436</v>
      </c>
      <c r="O4" s="5" t="s">
        <v>1333</v>
      </c>
      <c r="P4" s="5" t="s">
        <v>1063</v>
      </c>
      <c r="Q4" s="5" t="s">
        <v>1118</v>
      </c>
      <c r="R4" s="5" t="s">
        <v>501</v>
      </c>
      <c r="S4" s="5" t="s">
        <v>1258</v>
      </c>
      <c r="T4" s="5" t="s">
        <v>1442</v>
      </c>
      <c r="U4" s="5" t="s">
        <v>1285</v>
      </c>
      <c r="V4" s="5" t="s">
        <v>572</v>
      </c>
      <c r="W4" s="5" t="s">
        <v>1358</v>
      </c>
      <c r="X4" s="38" t="s">
        <v>400</v>
      </c>
      <c r="Y4" s="43" t="s">
        <v>1763</v>
      </c>
      <c r="Z4" s="39" t="s">
        <v>1764</v>
      </c>
      <c r="AA4" s="417" t="s">
        <v>1765</v>
      </c>
      <c r="AB4" s="5" t="s">
        <v>1092</v>
      </c>
      <c r="AD4" s="131">
        <v>3</v>
      </c>
      <c r="AE4" s="365">
        <v>1</v>
      </c>
      <c r="AF4" s="365">
        <v>4</v>
      </c>
      <c r="AG4" s="365">
        <v>1</v>
      </c>
      <c r="AH4" s="366" t="s">
        <v>1723</v>
      </c>
      <c r="AI4" s="352">
        <v>8</v>
      </c>
      <c r="AJ4" s="352">
        <v>6.5</v>
      </c>
      <c r="AK4" s="354">
        <v>5</v>
      </c>
      <c r="AL4" s="367">
        <v>1.25</v>
      </c>
      <c r="AM4" s="356">
        <v>16.8</v>
      </c>
      <c r="AN4" s="357">
        <v>63</v>
      </c>
      <c r="AO4" s="349">
        <v>7.8</v>
      </c>
      <c r="AP4" s="55">
        <f t="shared" si="0"/>
        <v>3</v>
      </c>
      <c r="AQ4" s="16">
        <f t="shared" si="1"/>
        <v>3</v>
      </c>
      <c r="AR4" s="16">
        <f t="shared" si="2"/>
        <v>3</v>
      </c>
      <c r="AS4" s="16" t="b">
        <f t="shared" si="3"/>
        <v>0</v>
      </c>
      <c r="AT4" s="16">
        <f t="shared" si="4"/>
        <v>3</v>
      </c>
      <c r="AU4" s="16" t="b">
        <f t="shared" si="5"/>
        <v>0</v>
      </c>
      <c r="AV4">
        <f t="shared" si="10"/>
        <v>81</v>
      </c>
      <c r="AW4">
        <f t="shared" si="6"/>
        <v>80</v>
      </c>
      <c r="AX4" t="str">
        <f t="shared" si="7"/>
        <v>M06060C17.5 1.25P H L4211360</v>
      </c>
      <c r="AY4" t="b">
        <f t="shared" si="8"/>
        <v>0</v>
      </c>
      <c r="AZ4" t="str">
        <f t="shared" si="9"/>
        <v>M06060C17.5 1.25P H L4211360</v>
      </c>
      <c r="BA4" s="61">
        <v>2</v>
      </c>
      <c r="BB4" s="157">
        <v>90</v>
      </c>
      <c r="BC4" s="158">
        <v>0.03</v>
      </c>
      <c r="BD4" s="158">
        <v>0.06</v>
      </c>
      <c r="BE4" s="77"/>
      <c r="BF4" s="63"/>
      <c r="BH4" s="11"/>
      <c r="BI4" s="10"/>
      <c r="BK4" s="74"/>
      <c r="BL4" s="10">
        <f>25.4/C10</f>
        <v>20.32</v>
      </c>
      <c r="BM4" s="65"/>
      <c r="BO4" s="7" t="s">
        <v>1374</v>
      </c>
      <c r="BP4" s="16">
        <f>(IF(D23&gt;0,D23,C23))+0.001</f>
        <v>17.501000000000001</v>
      </c>
      <c r="EN4" s="26"/>
      <c r="EO4" s="14"/>
      <c r="EP4" s="14"/>
      <c r="EQ4" s="14"/>
      <c r="ER4" s="14"/>
      <c r="ES4" s="14"/>
      <c r="ET4" s="8"/>
      <c r="EU4" s="14"/>
      <c r="EV4" s="14"/>
      <c r="EW4" s="14"/>
      <c r="EX4" s="14"/>
      <c r="EY4" s="14"/>
      <c r="HI4" s="26"/>
      <c r="HJ4" s="14"/>
      <c r="HK4" s="14"/>
      <c r="HL4" s="14"/>
      <c r="HM4" s="14"/>
      <c r="HN4" s="14"/>
      <c r="HO4" s="8"/>
      <c r="HP4" s="14"/>
      <c r="HQ4" s="14"/>
      <c r="HR4" s="26"/>
      <c r="HS4" s="14"/>
      <c r="HT4" s="14"/>
      <c r="HU4" s="14"/>
      <c r="HV4" s="237">
        <f>C12</f>
        <v>3</v>
      </c>
      <c r="HW4" s="14"/>
      <c r="HX4" s="8"/>
      <c r="HY4" s="14"/>
      <c r="HZ4" s="14"/>
    </row>
    <row r="5" spans="1:260" ht="15.95" customHeight="1">
      <c r="A5" s="390"/>
      <c r="B5" s="392"/>
      <c r="C5" s="390"/>
      <c r="D5" s="390"/>
      <c r="E5" s="390"/>
      <c r="F5" s="391"/>
      <c r="G5" s="384" t="str">
        <f>IF(BW9=0,"",BW9)</f>
        <v>G91 G00 Z-20.813</v>
      </c>
      <c r="T5" s="5" t="s">
        <v>1443</v>
      </c>
      <c r="X5" s="38"/>
      <c r="AA5" s="46"/>
      <c r="AD5" s="131">
        <v>4</v>
      </c>
      <c r="AE5" s="365">
        <v>1</v>
      </c>
      <c r="AF5" s="365">
        <v>4</v>
      </c>
      <c r="AG5" s="365">
        <v>1</v>
      </c>
      <c r="AH5" s="366" t="s">
        <v>1724</v>
      </c>
      <c r="AI5" s="352">
        <v>6</v>
      </c>
      <c r="AJ5" s="352">
        <v>4.8</v>
      </c>
      <c r="AK5" s="354">
        <v>5</v>
      </c>
      <c r="AL5" s="367">
        <v>1</v>
      </c>
      <c r="AM5" s="356">
        <v>12.6</v>
      </c>
      <c r="AN5" s="357">
        <v>57</v>
      </c>
      <c r="AO5" s="349">
        <v>5.8</v>
      </c>
      <c r="AP5" s="55">
        <f t="shared" si="0"/>
        <v>4</v>
      </c>
      <c r="AQ5" s="16">
        <f t="shared" si="1"/>
        <v>4</v>
      </c>
      <c r="AR5" s="16" t="b">
        <f t="shared" si="2"/>
        <v>0</v>
      </c>
      <c r="AS5" s="16" t="b">
        <f t="shared" si="3"/>
        <v>0</v>
      </c>
      <c r="AT5" s="16">
        <f t="shared" si="4"/>
        <v>4</v>
      </c>
      <c r="AU5" s="16" t="b">
        <f t="shared" si="5"/>
        <v>0</v>
      </c>
      <c r="AV5" t="e">
        <f t="shared" si="10"/>
        <v>#N/A</v>
      </c>
      <c r="AW5" t="e">
        <f t="shared" si="6"/>
        <v>#N/A</v>
      </c>
      <c r="AX5" t="e">
        <f t="shared" si="7"/>
        <v>#N/A</v>
      </c>
      <c r="AY5" t="b">
        <f t="shared" si="8"/>
        <v>1</v>
      </c>
      <c r="AZ5" t="str">
        <f t="shared" si="9"/>
        <v/>
      </c>
      <c r="BA5" s="61">
        <v>3</v>
      </c>
      <c r="BB5" s="157">
        <v>80</v>
      </c>
      <c r="BC5" s="158">
        <v>2.5000000000000001E-2</v>
      </c>
      <c r="BD5" s="158">
        <v>0.05</v>
      </c>
      <c r="BE5" s="120">
        <f>IF(D25&gt;0,D25,C25)</f>
        <v>80</v>
      </c>
      <c r="BF5" s="63"/>
      <c r="BH5" s="11"/>
      <c r="BI5" s="10"/>
      <c r="BK5" s="74"/>
      <c r="BL5" s="10">
        <f>IF(BL10=1,BL3,BL4)</f>
        <v>1.25</v>
      </c>
      <c r="BM5" s="65"/>
      <c r="BO5" s="7" t="s">
        <v>713</v>
      </c>
      <c r="BP5" s="16">
        <f>BP4/BL6</f>
        <v>14.000800000000002</v>
      </c>
      <c r="BQ5" s="86"/>
      <c r="BS5" s="83" t="s">
        <v>380</v>
      </c>
      <c r="BT5" s="36">
        <v>1</v>
      </c>
      <c r="EN5" s="26"/>
      <c r="EO5" s="5"/>
      <c r="EP5" s="14"/>
      <c r="EQ5" s="14"/>
      <c r="ER5" s="114">
        <f>$C$12</f>
        <v>3</v>
      </c>
      <c r="ES5" s="103">
        <f>INT(ER5)</f>
        <v>3</v>
      </c>
      <c r="ET5" s="8"/>
      <c r="EU5" s="14"/>
      <c r="EV5" s="14"/>
      <c r="EW5" s="14"/>
      <c r="EX5" s="14"/>
      <c r="EY5" s="14"/>
      <c r="FC5" s="26"/>
      <c r="FD5" s="22" t="s">
        <v>705</v>
      </c>
      <c r="FE5" s="8"/>
      <c r="FF5" s="8"/>
      <c r="FG5" s="8"/>
      <c r="FH5" s="8"/>
      <c r="FI5" s="8"/>
      <c r="FJ5" s="14"/>
      <c r="FK5" s="14"/>
      <c r="FL5" s="14"/>
      <c r="FM5" s="14"/>
      <c r="FN5" s="14"/>
      <c r="FO5" s="16"/>
      <c r="FP5" s="16"/>
      <c r="FQ5" s="16"/>
      <c r="FS5" s="52" t="s">
        <v>602</v>
      </c>
      <c r="FX5" s="248" t="s">
        <v>731</v>
      </c>
      <c r="GC5" s="248" t="s">
        <v>1416</v>
      </c>
      <c r="GH5" s="22" t="s">
        <v>1327</v>
      </c>
      <c r="GV5" s="22" t="s">
        <v>1328</v>
      </c>
      <c r="HI5" s="26"/>
      <c r="HJ5" s="5"/>
      <c r="HK5" s="14"/>
      <c r="HL5" s="14"/>
      <c r="HM5" s="114"/>
      <c r="HN5" s="103"/>
      <c r="HO5" s="8"/>
      <c r="HP5" s="14"/>
      <c r="HQ5" s="14"/>
      <c r="HR5" s="26"/>
      <c r="HS5" s="5"/>
      <c r="HT5" s="14"/>
      <c r="HU5" s="14"/>
      <c r="HV5" s="102">
        <f>INT(HV4)</f>
        <v>3</v>
      </c>
      <c r="HW5" s="114"/>
      <c r="HX5" s="8"/>
      <c r="HY5" s="14"/>
      <c r="HZ5" s="14"/>
      <c r="IG5" s="26"/>
      <c r="IH5" s="22" t="s">
        <v>1747</v>
      </c>
      <c r="II5" s="8"/>
      <c r="IJ5" s="8"/>
      <c r="IK5" s="8"/>
      <c r="IL5" s="26"/>
      <c r="IM5" s="22"/>
      <c r="IN5" s="8"/>
      <c r="IO5" s="8"/>
      <c r="IP5" s="183">
        <f>C12</f>
        <v>3</v>
      </c>
      <c r="IQ5" s="103">
        <f>INT(IP5)</f>
        <v>3</v>
      </c>
      <c r="IR5" s="8"/>
      <c r="IS5" s="14"/>
      <c r="IT5" s="14"/>
      <c r="IU5" s="14"/>
      <c r="IV5" s="14"/>
      <c r="IW5" s="14"/>
      <c r="IX5" s="16"/>
      <c r="IY5" s="16"/>
      <c r="IZ5" s="16"/>
    </row>
    <row r="6" spans="1:260" ht="15.95" customHeight="1">
      <c r="A6" s="390"/>
      <c r="B6" s="390"/>
      <c r="C6" s="390"/>
      <c r="D6" s="390"/>
      <c r="E6" s="390"/>
      <c r="F6" s="391"/>
      <c r="G6" s="386" t="str">
        <f>IF(BW12=0,"",BW12)</f>
        <v>G41 D10 X0. Y-3,375 F40</v>
      </c>
      <c r="X6" s="38"/>
      <c r="AA6" s="46"/>
      <c r="AD6" s="131">
        <v>5</v>
      </c>
      <c r="AE6" s="365">
        <v>1</v>
      </c>
      <c r="AF6" s="365">
        <v>4</v>
      </c>
      <c r="AG6" s="365">
        <v>1</v>
      </c>
      <c r="AH6" s="366" t="s">
        <v>1725</v>
      </c>
      <c r="AI6" s="352">
        <v>6</v>
      </c>
      <c r="AJ6" s="352">
        <v>4.04</v>
      </c>
      <c r="AK6" s="354">
        <v>4</v>
      </c>
      <c r="AL6" s="367">
        <v>0.8</v>
      </c>
      <c r="AM6" s="356">
        <v>10.5</v>
      </c>
      <c r="AN6" s="357">
        <v>57</v>
      </c>
      <c r="AO6" s="349">
        <v>4.8</v>
      </c>
      <c r="AP6" s="55">
        <f t="shared" si="0"/>
        <v>5</v>
      </c>
      <c r="AQ6" s="16">
        <f t="shared" si="1"/>
        <v>5</v>
      </c>
      <c r="AR6" s="16" t="b">
        <f t="shared" si="2"/>
        <v>0</v>
      </c>
      <c r="AS6" s="16" t="b">
        <f t="shared" si="3"/>
        <v>0</v>
      </c>
      <c r="AT6" s="16">
        <f t="shared" si="4"/>
        <v>5</v>
      </c>
      <c r="AU6" s="16" t="b">
        <f t="shared" si="5"/>
        <v>0</v>
      </c>
      <c r="AV6" t="e">
        <f t="shared" si="10"/>
        <v>#N/A</v>
      </c>
      <c r="AW6" t="e">
        <f t="shared" si="6"/>
        <v>#N/A</v>
      </c>
      <c r="AX6" t="e">
        <f t="shared" si="7"/>
        <v>#N/A</v>
      </c>
      <c r="AY6" t="b">
        <f t="shared" si="8"/>
        <v>1</v>
      </c>
      <c r="AZ6" t="str">
        <f t="shared" si="9"/>
        <v/>
      </c>
      <c r="BA6" s="61">
        <v>4</v>
      </c>
      <c r="BB6" s="157">
        <v>100</v>
      </c>
      <c r="BC6" s="158">
        <v>0.03</v>
      </c>
      <c r="BD6" s="158">
        <v>0.06</v>
      </c>
      <c r="BE6" s="77"/>
      <c r="BF6" s="63"/>
      <c r="BH6" s="11"/>
      <c r="BI6" s="10"/>
      <c r="BK6" s="74" t="s">
        <v>1373</v>
      </c>
      <c r="BL6" s="75">
        <f>ROUND(BL5,3)</f>
        <v>1.25</v>
      </c>
      <c r="BM6" s="65"/>
      <c r="BO6" s="86" t="s">
        <v>798</v>
      </c>
      <c r="BP6" s="18">
        <f>INT(BP5)</f>
        <v>14</v>
      </c>
      <c r="BQ6" s="86"/>
      <c r="BR6" s="16">
        <f>IF(BF29&gt;2,"ERROR",BF29)</f>
        <v>1</v>
      </c>
      <c r="BS6" s="8" t="s">
        <v>379</v>
      </c>
      <c r="BT6" s="14">
        <f>BR6*10</f>
        <v>10</v>
      </c>
      <c r="BU6" s="14"/>
      <c r="BV6" s="8">
        <v>2</v>
      </c>
      <c r="BW6" s="54" t="str">
        <f>LOOKUP(BT$54,BX$2:EM$2,BX6:EM6)</f>
        <v>G43 H10 Z3. M3 S4244</v>
      </c>
      <c r="BX6" s="23" t="s">
        <v>122</v>
      </c>
      <c r="BY6" s="23" t="str">
        <f t="shared" ref="BY6:BY67" si="11">CONCATENATE(EO6,EP6,EQ6,ER6,ES6,ET6,EU6,EV6,EW6,EX6,EY6,EZ6,FA6,FB6)</f>
        <v>G43 H10 Z3. M3 S4244</v>
      </c>
      <c r="BZ6" s="23" t="str">
        <f>BY6</f>
        <v>G43 H10 Z3. M3 S4244</v>
      </c>
      <c r="CA6" s="23" t="str">
        <f>BY6</f>
        <v>G43 H10 Z3. M3 S4244</v>
      </c>
      <c r="CB6" s="23" t="str">
        <f>BZ6</f>
        <v>G43 H10 Z3. M3 S4244</v>
      </c>
      <c r="CC6" s="23" t="str">
        <f>BY6</f>
        <v>G43 H10 Z3. M3 S4244</v>
      </c>
      <c r="CD6" s="23" t="str">
        <f>BZ6</f>
        <v>G43 H10 Z3. M3 S4244</v>
      </c>
      <c r="CE6" s="23" t="str">
        <f>BY6</f>
        <v>G43 H10 Z3. M3 S4244</v>
      </c>
      <c r="CF6" s="23" t="str">
        <f>BZ6</f>
        <v>G43 H10 Z3. M3 S4244</v>
      </c>
      <c r="CG6" s="23" t="str">
        <f>CE6</f>
        <v>G43 H10 Z3. M3 S4244</v>
      </c>
      <c r="CH6" s="23" t="str">
        <f>$CF$6</f>
        <v>G43 H10 Z3. M3 S4244</v>
      </c>
      <c r="CI6" s="23" t="str">
        <f>CG6</f>
        <v>G43 H10 Z3. M3 S4244</v>
      </c>
      <c r="CJ6" s="23" t="str">
        <f>$CF$6</f>
        <v>G43 H10 Z3. M3 S4244</v>
      </c>
      <c r="CK6" s="23" t="str">
        <f>CG6</f>
        <v>G43 H10 Z3. M3 S4244</v>
      </c>
      <c r="CL6" s="23" t="str">
        <f>$CF$6</f>
        <v>G43 H10 Z3. M3 S4244</v>
      </c>
      <c r="CM6" s="23" t="str">
        <f>CG6</f>
        <v>G43 H10 Z3. M3 S4244</v>
      </c>
      <c r="CN6" s="23" t="str">
        <f>$CF$6</f>
        <v>G43 H10 Z3. M3 S4244</v>
      </c>
      <c r="CO6" s="23" t="str">
        <f>CG6</f>
        <v>G43 H10 Z3. M3 S4244</v>
      </c>
      <c r="CP6" s="23" t="str">
        <f>$CF$6</f>
        <v>G43 H10 Z3. M3 S4244</v>
      </c>
      <c r="CQ6" s="23" t="str">
        <f>CG6</f>
        <v>G43 H10 Z3. M3 S4244</v>
      </c>
      <c r="CR6" s="23" t="str">
        <f>$CF$6</f>
        <v>G43 H10 Z3. M3 S4244</v>
      </c>
      <c r="CS6" s="23" t="str">
        <f>CG6</f>
        <v>G43 H10 Z3. M3 S4244</v>
      </c>
      <c r="CT6" s="23" t="str">
        <f>$CF$6</f>
        <v>G43 H10 Z3. M3 S4244</v>
      </c>
      <c r="CU6" s="23" t="str">
        <f>CG6</f>
        <v>G43 H10 Z3. M3 S4244</v>
      </c>
      <c r="CV6" s="23" t="str">
        <f>$CF$6</f>
        <v>G43 H10 Z3. M3 S4244</v>
      </c>
      <c r="CW6" s="23" t="str">
        <f>CG6</f>
        <v>G43 H10 Z3. M3 S4244</v>
      </c>
      <c r="CX6" s="23" t="str">
        <f>$CF$6</f>
        <v>G43 H10 Z3. M3 S4244</v>
      </c>
      <c r="CY6" s="23" t="str">
        <f>CG6</f>
        <v>G43 H10 Z3. M3 S4244</v>
      </c>
      <c r="CZ6" s="23" t="str">
        <f>$CF$6</f>
        <v>G43 H10 Z3. M3 S4244</v>
      </c>
      <c r="DA6" s="23" t="str">
        <f>CG6</f>
        <v>G43 H10 Z3. M3 S4244</v>
      </c>
      <c r="DB6" s="23" t="str">
        <f>$CF$6</f>
        <v>G43 H10 Z3. M3 S4244</v>
      </c>
      <c r="DC6" s="23" t="str">
        <f>CG6</f>
        <v>G43 H10 Z3. M3 S4244</v>
      </c>
      <c r="DD6" s="23" t="str">
        <f>$CF$6</f>
        <v>G43 H10 Z3. M3 S4244</v>
      </c>
      <c r="DE6" s="23" t="str">
        <f>CONCATENATE(IM6,IN6,IO6,IP6,IQ6,IR6,IS6,IT6,IU6,IV6,IW6,IX6,IY6,IZ6)</f>
        <v>G43 H10 Z3. M4 S4244</v>
      </c>
      <c r="DF6" s="23" t="str">
        <f>CONCATENATE(IM6,IN6,IO6,IP6,IQ6,IR6,IS6,IT6,IU6,IV6,IW6,IX6,IY6,IZ6)</f>
        <v>G43 H10 Z3. M4 S4244</v>
      </c>
      <c r="DG6" s="23" t="str">
        <f>$DE$6</f>
        <v>G43 H10 Z3. M4 S4244</v>
      </c>
      <c r="DH6" s="23" t="str">
        <f>$DF$6</f>
        <v>G43 H10 Z3. M4 S4244</v>
      </c>
      <c r="DI6" s="23" t="str">
        <f>$DE$6</f>
        <v>G43 H10 Z3. M4 S4244</v>
      </c>
      <c r="DJ6" s="23" t="str">
        <f>$DF$6</f>
        <v>G43 H10 Z3. M4 S4244</v>
      </c>
      <c r="DK6" s="23" t="str">
        <f>$DE$6</f>
        <v>G43 H10 Z3. M4 S4244</v>
      </c>
      <c r="DL6" s="23" t="str">
        <f>$DF$6</f>
        <v>G43 H10 Z3. M4 S4244</v>
      </c>
      <c r="DM6" s="23" t="str">
        <f>$DE$6</f>
        <v>G43 H10 Z3. M4 S4244</v>
      </c>
      <c r="DN6" s="23" t="str">
        <f>$DF$6</f>
        <v>G43 H10 Z3. M4 S4244</v>
      </c>
      <c r="DO6" s="23" t="str">
        <f>$DE$6</f>
        <v>G43 H10 Z3. M4 S4244</v>
      </c>
      <c r="DP6" s="23" t="str">
        <f>$DF$6</f>
        <v>G43 H10 Z3. M4 S4244</v>
      </c>
      <c r="DQ6" s="23" t="str">
        <f>$DE$6</f>
        <v>G43 H10 Z3. M4 S4244</v>
      </c>
      <c r="DR6" s="23" t="str">
        <f>$DF$6</f>
        <v>G43 H10 Z3. M4 S4244</v>
      </c>
      <c r="DS6" s="23" t="str">
        <f>$DE$6</f>
        <v>G43 H10 Z3. M4 S4244</v>
      </c>
      <c r="DT6" s="23" t="str">
        <f>$DF$6</f>
        <v>G43 H10 Z3. M4 S4244</v>
      </c>
      <c r="DU6" s="23" t="str">
        <f>$DE$6</f>
        <v>G43 H10 Z3. M4 S4244</v>
      </c>
      <c r="DV6" s="23" t="str">
        <f>$DF$6</f>
        <v>G43 H10 Z3. M4 S4244</v>
      </c>
      <c r="DW6" s="23" t="str">
        <f>$DE$6</f>
        <v>G43 H10 Z3. M4 S4244</v>
      </c>
      <c r="DX6" s="23" t="str">
        <f>$DF$6</f>
        <v>G43 H10 Z3. M4 S4244</v>
      </c>
      <c r="DY6" s="23" t="str">
        <f>$DE$6</f>
        <v>G43 H10 Z3. M4 S4244</v>
      </c>
      <c r="DZ6" s="23" t="str">
        <f>$DF$6</f>
        <v>G43 H10 Z3. M4 S4244</v>
      </c>
      <c r="EA6" s="23" t="str">
        <f>$DE$6</f>
        <v>G43 H10 Z3. M4 S4244</v>
      </c>
      <c r="EB6" s="23" t="str">
        <f>$DF$6</f>
        <v>G43 H10 Z3. M4 S4244</v>
      </c>
      <c r="EC6" s="23" t="str">
        <f>$DE$6</f>
        <v>G43 H10 Z3. M4 S4244</v>
      </c>
      <c r="ED6" s="23" t="str">
        <f>$DF$6</f>
        <v>G43 H10 Z3. M4 S4244</v>
      </c>
      <c r="EE6" s="23" t="str">
        <f>$DE$6</f>
        <v>G43 H10 Z3. M4 S4244</v>
      </c>
      <c r="EF6" s="23" t="str">
        <f>$DF$6</f>
        <v>G43 H10 Z3. M4 S4244</v>
      </c>
      <c r="EG6" s="23" t="str">
        <f>BY6</f>
        <v>G43 H10 Z3. M3 S4244</v>
      </c>
      <c r="EH6" s="23" t="str">
        <f>BZ6</f>
        <v>G43 H10 Z3. M3 S4244</v>
      </c>
      <c r="EI6" s="23" t="str">
        <f>CA6</f>
        <v>G43 H10 Z3. M3 S4244</v>
      </c>
      <c r="EJ6" s="23" t="str">
        <f>BZ6</f>
        <v>G43 H10 Z3. M3 S4244</v>
      </c>
      <c r="EK6" s="23" t="str">
        <f>EG6</f>
        <v>G43 H10 Z3. M3 S4244</v>
      </c>
      <c r="EL6" s="23" t="str">
        <f>EH6</f>
        <v>G43 H10 Z3. M3 S4244</v>
      </c>
      <c r="EM6" s="23" t="str">
        <f>CONCATENATE(HS6,HT6,HU6,HV6,HW6,HX6,HY6,HZ6,IA6,IB6,IC6,ID6,IE6,IF6)</f>
        <v>G43 H10 Z3. M3 S4244</v>
      </c>
      <c r="EN6" s="26">
        <v>2</v>
      </c>
      <c r="EO6" s="418" t="str">
        <f>IF(BT5&gt;1,"D10","G43")</f>
        <v>G43</v>
      </c>
      <c r="EP6" s="428" t="str">
        <f>IF(BT5&gt;1," "," H10")</f>
        <v xml:space="preserve"> H10</v>
      </c>
      <c r="EQ6" s="14" t="s">
        <v>181</v>
      </c>
      <c r="ER6" s="98" t="str">
        <f>SUBSTITUTE(ER5,",",".")</f>
        <v>3</v>
      </c>
      <c r="ES6" s="14" t="str">
        <f>IF(ER5=ES5,".","")</f>
        <v>.</v>
      </c>
      <c r="ET6" s="97" t="s">
        <v>161</v>
      </c>
      <c r="EU6" s="14" t="s">
        <v>179</v>
      </c>
      <c r="EV6" s="97">
        <f>$C$28</f>
        <v>4244</v>
      </c>
      <c r="EW6" s="14"/>
      <c r="EX6" s="14"/>
      <c r="EY6" s="14"/>
      <c r="FC6" s="26"/>
      <c r="FD6" s="14"/>
      <c r="FE6" s="14"/>
      <c r="FF6" s="14"/>
      <c r="FG6" s="14"/>
      <c r="FH6" s="14"/>
      <c r="FI6" s="14"/>
      <c r="FJ6" s="14"/>
      <c r="FK6" s="14"/>
      <c r="FL6" s="14"/>
      <c r="FM6" s="14"/>
      <c r="FN6" s="14"/>
      <c r="FO6" s="14"/>
      <c r="FP6" s="14"/>
      <c r="FQ6" s="14"/>
      <c r="HI6" s="26"/>
      <c r="HJ6" s="14"/>
      <c r="HK6" s="6"/>
      <c r="HL6" s="14"/>
      <c r="HM6" s="98"/>
      <c r="HN6" s="14"/>
      <c r="HO6" s="97"/>
      <c r="HP6" s="14"/>
      <c r="HQ6" s="14"/>
      <c r="HR6" s="26">
        <v>2</v>
      </c>
      <c r="HS6" s="418" t="str">
        <f>IF(BT5&gt;1,"D10","G43")</f>
        <v>G43</v>
      </c>
      <c r="HT6" s="428" t="str">
        <f>IF(BT5&gt;1," "," H10")</f>
        <v xml:space="preserve"> H10</v>
      </c>
      <c r="HU6" s="14" t="s">
        <v>181</v>
      </c>
      <c r="HV6" s="98" t="str">
        <f>SUBSTITUTE(HV4,",",".")</f>
        <v>3</v>
      </c>
      <c r="HW6" s="14" t="str">
        <f>IF(HV4=HV5,".","")</f>
        <v>.</v>
      </c>
      <c r="HX6" s="97" t="s">
        <v>161</v>
      </c>
      <c r="HY6" s="14" t="s">
        <v>179</v>
      </c>
      <c r="HZ6" s="97">
        <f>C28</f>
        <v>4244</v>
      </c>
      <c r="IA6" s="14"/>
      <c r="IG6" s="26"/>
      <c r="IH6" s="14"/>
      <c r="II6" s="14"/>
      <c r="IJ6" s="14"/>
      <c r="IK6" s="14"/>
      <c r="IL6" s="26">
        <v>2</v>
      </c>
      <c r="IM6" s="418" t="str">
        <f>IF(BT5&gt;1,"D10","G43")</f>
        <v>G43</v>
      </c>
      <c r="IN6" s="428" t="str">
        <f>IF(BT5&gt;1," "," H10")</f>
        <v xml:space="preserve"> H10</v>
      </c>
      <c r="IO6" s="14" t="s">
        <v>181</v>
      </c>
      <c r="IP6" s="98" t="str">
        <f>SUBSTITUTE(IP5,",",".")</f>
        <v>3</v>
      </c>
      <c r="IQ6" s="14" t="str">
        <f>IF(IP5=IQ5,".","")</f>
        <v>.</v>
      </c>
      <c r="IR6" s="97" t="s">
        <v>1748</v>
      </c>
      <c r="IS6" s="14" t="s">
        <v>179</v>
      </c>
      <c r="IT6" s="97">
        <f>C28</f>
        <v>4244</v>
      </c>
      <c r="IU6" s="14"/>
      <c r="IV6" s="14"/>
      <c r="IW6" s="14"/>
      <c r="IX6" s="14"/>
      <c r="IY6" s="14"/>
      <c r="IZ6" s="14"/>
    </row>
    <row r="7" spans="1:260" ht="15.95" customHeight="1">
      <c r="A7" s="390"/>
      <c r="B7" s="390"/>
      <c r="C7" s="390"/>
      <c r="D7" s="390"/>
      <c r="E7" s="390"/>
      <c r="F7" s="391"/>
      <c r="G7" s="386" t="str">
        <f>IF(BW15=0,"",BW15)</f>
        <v>G03 X4.063 Y3.375 Z0.313 R3,433</v>
      </c>
      <c r="I7" s="5" t="str">
        <f t="shared" ref="I7:I13" si="12">LOOKUP(H$27,J$2:L$2,J7:L7)</f>
        <v>Fanuc</v>
      </c>
      <c r="J7" s="5" t="s">
        <v>1992</v>
      </c>
      <c r="K7" s="5" t="s">
        <v>1992</v>
      </c>
      <c r="L7" s="5" t="s">
        <v>1992</v>
      </c>
      <c r="M7" s="5" t="s">
        <v>1361</v>
      </c>
      <c r="N7" s="5" t="s">
        <v>1361</v>
      </c>
      <c r="O7" s="5" t="s">
        <v>1361</v>
      </c>
      <c r="P7" s="5" t="s">
        <v>1361</v>
      </c>
      <c r="Q7" s="5" t="s">
        <v>1361</v>
      </c>
      <c r="R7" s="5" t="s">
        <v>1361</v>
      </c>
      <c r="S7" s="5" t="s">
        <v>1361</v>
      </c>
      <c r="T7" s="5" t="s">
        <v>1361</v>
      </c>
      <c r="U7" s="5" t="s">
        <v>1361</v>
      </c>
      <c r="V7" s="5" t="s">
        <v>1361</v>
      </c>
      <c r="W7" s="5" t="s">
        <v>1361</v>
      </c>
      <c r="X7" s="5" t="s">
        <v>1361</v>
      </c>
      <c r="Y7" s="43" t="s">
        <v>1766</v>
      </c>
      <c r="Z7" s="5" t="s">
        <v>1361</v>
      </c>
      <c r="AA7" s="417" t="s">
        <v>1767</v>
      </c>
      <c r="AB7" s="5" t="s">
        <v>1361</v>
      </c>
      <c r="AD7" s="131">
        <v>6</v>
      </c>
      <c r="AE7" s="365">
        <v>1</v>
      </c>
      <c r="AF7" s="365">
        <v>4</v>
      </c>
      <c r="AG7" s="365">
        <v>1</v>
      </c>
      <c r="AH7" s="366" t="s">
        <v>1726</v>
      </c>
      <c r="AI7" s="352">
        <v>6</v>
      </c>
      <c r="AJ7" s="352">
        <v>3.16</v>
      </c>
      <c r="AK7" s="354">
        <v>4</v>
      </c>
      <c r="AL7" s="367">
        <v>0.7</v>
      </c>
      <c r="AM7" s="356">
        <v>8.4</v>
      </c>
      <c r="AN7" s="357">
        <v>57</v>
      </c>
      <c r="AO7" s="349">
        <v>3.8</v>
      </c>
      <c r="AP7" s="55">
        <f t="shared" si="0"/>
        <v>6</v>
      </c>
      <c r="AQ7" s="16">
        <f t="shared" si="1"/>
        <v>6</v>
      </c>
      <c r="AR7" s="16" t="b">
        <f t="shared" si="2"/>
        <v>0</v>
      </c>
      <c r="AS7" s="16" t="b">
        <f t="shared" si="3"/>
        <v>0</v>
      </c>
      <c r="AT7" s="16">
        <f t="shared" si="4"/>
        <v>6</v>
      </c>
      <c r="AU7" s="16" t="b">
        <f t="shared" si="5"/>
        <v>0</v>
      </c>
      <c r="AV7" t="e">
        <f t="shared" si="10"/>
        <v>#N/A</v>
      </c>
      <c r="AW7" t="e">
        <f t="shared" si="6"/>
        <v>#N/A</v>
      </c>
      <c r="AX7" t="e">
        <f t="shared" si="7"/>
        <v>#N/A</v>
      </c>
      <c r="AY7" t="b">
        <f t="shared" si="8"/>
        <v>1</v>
      </c>
      <c r="AZ7" t="str">
        <f t="shared" si="9"/>
        <v/>
      </c>
      <c r="BA7" s="61">
        <v>5</v>
      </c>
      <c r="BB7" s="157">
        <v>80</v>
      </c>
      <c r="BC7" s="158">
        <v>2.5000000000000001E-2</v>
      </c>
      <c r="BD7" s="158">
        <v>0.04</v>
      </c>
      <c r="BE7" s="77"/>
      <c r="BF7" s="63"/>
      <c r="BH7" s="11"/>
      <c r="BI7" s="10"/>
      <c r="BK7" s="74"/>
      <c r="BL7" s="9"/>
      <c r="BM7" s="65"/>
      <c r="BO7" s="7" t="s">
        <v>1425</v>
      </c>
      <c r="BP7" s="20">
        <f>BP6*BL6</f>
        <v>17.5</v>
      </c>
      <c r="BR7" s="14" t="str">
        <f>IF(BP9&gt;1,100,"")</f>
        <v/>
      </c>
      <c r="BS7" s="7" t="s">
        <v>378</v>
      </c>
      <c r="BT7" s="14" t="str">
        <f>IF(BP42=2,"",BR7)</f>
        <v/>
      </c>
      <c r="BU7" s="14"/>
      <c r="BV7" s="8"/>
      <c r="CC7" s="23"/>
      <c r="EN7" s="26"/>
      <c r="EO7" s="14"/>
      <c r="EP7" s="14"/>
      <c r="EQ7" s="103"/>
      <c r="ER7" s="175">
        <f>-$BP$56</f>
        <v>-20.812999999999999</v>
      </c>
      <c r="ES7" s="14"/>
      <c r="ET7" s="14"/>
      <c r="EU7" s="14"/>
      <c r="EV7" s="14"/>
      <c r="EW7" s="14"/>
      <c r="EX7" s="14"/>
      <c r="EY7" s="14"/>
      <c r="FC7" s="26"/>
      <c r="FD7" s="14"/>
      <c r="FE7" s="14"/>
      <c r="FF7" s="14"/>
      <c r="FG7" s="14"/>
      <c r="FH7" s="14"/>
      <c r="FI7" s="14"/>
      <c r="FJ7" s="14"/>
      <c r="FK7" s="14"/>
      <c r="FL7" s="14"/>
      <c r="FM7" s="14"/>
      <c r="FN7" s="14"/>
      <c r="FO7" s="14"/>
      <c r="FP7" s="14"/>
      <c r="FQ7" s="14"/>
      <c r="HI7" s="26"/>
      <c r="HJ7" s="14"/>
      <c r="HK7" s="14"/>
      <c r="HL7" s="103"/>
      <c r="HM7" s="103">
        <f>-(IF(D23&gt;0,D23,C23))</f>
        <v>-17.5</v>
      </c>
      <c r="HN7" s="14">
        <f>IF(D23&gt;0,D23,C23)</f>
        <v>17.5</v>
      </c>
      <c r="HO7" s="14"/>
      <c r="HP7" s="14"/>
      <c r="HQ7" s="14"/>
      <c r="HR7" s="26"/>
      <c r="HS7" s="14"/>
      <c r="HT7" s="14"/>
      <c r="HU7" s="103"/>
      <c r="HV7" s="175">
        <f>-BP65</f>
        <v>-22.878</v>
      </c>
      <c r="HW7" s="14"/>
      <c r="HX7" s="14"/>
      <c r="HY7" s="14"/>
      <c r="HZ7" s="14"/>
      <c r="IG7" s="26"/>
      <c r="IH7" s="14"/>
      <c r="II7" s="14"/>
      <c r="IJ7" s="14"/>
      <c r="IK7" s="14"/>
      <c r="IL7" s="26"/>
      <c r="IM7" s="14"/>
      <c r="IN7" s="14"/>
      <c r="IO7" s="14"/>
      <c r="IP7" s="244">
        <f>ROUND(BP54,3)</f>
        <v>0.313</v>
      </c>
      <c r="IQ7" s="14"/>
      <c r="IR7" s="14"/>
      <c r="IS7" s="14"/>
      <c r="IT7" s="14"/>
      <c r="IU7" s="14"/>
      <c r="IV7" s="14"/>
      <c r="IW7" s="14"/>
      <c r="IX7" s="14"/>
      <c r="IY7" s="14"/>
      <c r="IZ7" s="14"/>
    </row>
    <row r="8" spans="1:260" ht="15.95" customHeight="1">
      <c r="A8" s="390"/>
      <c r="B8" s="390"/>
      <c r="C8" s="390"/>
      <c r="D8" s="390"/>
      <c r="E8" s="390"/>
      <c r="F8" s="391"/>
      <c r="G8" s="384" t="str">
        <f>IF(BW18=0,"",BW18)</f>
        <v>G03 X0. Y0. Z1.25 I-4.063 J0. F80</v>
      </c>
      <c r="I8" s="5" t="str">
        <f t="shared" si="12"/>
        <v>Sinumeric 840D</v>
      </c>
      <c r="J8" s="5" t="s">
        <v>1993</v>
      </c>
      <c r="K8" s="5" t="s">
        <v>1993</v>
      </c>
      <c r="L8" s="5" t="s">
        <v>1993</v>
      </c>
      <c r="M8" s="5" t="s">
        <v>93</v>
      </c>
      <c r="N8" s="5" t="s">
        <v>93</v>
      </c>
      <c r="O8" s="5" t="s">
        <v>93</v>
      </c>
      <c r="P8" s="5" t="s">
        <v>93</v>
      </c>
      <c r="Q8" s="5" t="s">
        <v>93</v>
      </c>
      <c r="R8" s="5" t="s">
        <v>93</v>
      </c>
      <c r="S8" s="5" t="s">
        <v>93</v>
      </c>
      <c r="T8" s="5" t="s">
        <v>93</v>
      </c>
      <c r="U8" s="5" t="s">
        <v>93</v>
      </c>
      <c r="V8" s="5" t="s">
        <v>93</v>
      </c>
      <c r="W8" s="5" t="s">
        <v>93</v>
      </c>
      <c r="X8" s="5" t="s">
        <v>93</v>
      </c>
      <c r="Y8" s="43" t="s">
        <v>1768</v>
      </c>
      <c r="Z8" s="5" t="s">
        <v>93</v>
      </c>
      <c r="AA8" s="417" t="s">
        <v>1769</v>
      </c>
      <c r="AB8" s="5" t="s">
        <v>93</v>
      </c>
      <c r="AD8" s="131">
        <v>7</v>
      </c>
      <c r="AE8" s="365">
        <v>1</v>
      </c>
      <c r="AF8" s="365">
        <v>4</v>
      </c>
      <c r="AG8" s="365">
        <v>1</v>
      </c>
      <c r="AH8" s="366" t="s">
        <v>1727</v>
      </c>
      <c r="AI8" s="352">
        <v>6</v>
      </c>
      <c r="AJ8" s="352">
        <v>2.4</v>
      </c>
      <c r="AK8" s="354">
        <v>4</v>
      </c>
      <c r="AL8" s="367">
        <v>0.5</v>
      </c>
      <c r="AM8" s="356">
        <v>6.3</v>
      </c>
      <c r="AN8" s="357">
        <v>57</v>
      </c>
      <c r="AO8" s="349">
        <v>2.8</v>
      </c>
      <c r="AP8" s="55">
        <f t="shared" si="0"/>
        <v>7</v>
      </c>
      <c r="AQ8" s="16">
        <f t="shared" si="1"/>
        <v>7</v>
      </c>
      <c r="AR8" s="16" t="b">
        <f t="shared" si="2"/>
        <v>0</v>
      </c>
      <c r="AS8" s="16" t="b">
        <f t="shared" si="3"/>
        <v>0</v>
      </c>
      <c r="AT8" s="16">
        <f t="shared" si="4"/>
        <v>7</v>
      </c>
      <c r="AU8" s="16" t="b">
        <f t="shared" si="5"/>
        <v>0</v>
      </c>
      <c r="AV8" t="e">
        <f t="shared" si="10"/>
        <v>#N/A</v>
      </c>
      <c r="AW8" t="e">
        <f t="shared" si="6"/>
        <v>#N/A</v>
      </c>
      <c r="AX8" t="e">
        <f t="shared" si="7"/>
        <v>#N/A</v>
      </c>
      <c r="AY8" t="b">
        <f t="shared" si="8"/>
        <v>1</v>
      </c>
      <c r="AZ8" t="str">
        <f t="shared" si="9"/>
        <v/>
      </c>
      <c r="BA8" s="61">
        <v>6</v>
      </c>
      <c r="BB8" s="157">
        <v>70</v>
      </c>
      <c r="BC8" s="158">
        <v>0.01</v>
      </c>
      <c r="BD8" s="158">
        <v>1.4999999999999999E-2</v>
      </c>
      <c r="BE8" s="77"/>
      <c r="BF8" s="63"/>
      <c r="BH8" s="11"/>
      <c r="BI8" s="10"/>
      <c r="BK8" s="76"/>
      <c r="BL8" s="14"/>
      <c r="BM8" s="65"/>
      <c r="BS8" s="8" t="s">
        <v>1742</v>
      </c>
      <c r="BT8" s="14" t="str">
        <f>IF(BP42=3,1000,(IF(BP42=4,3000,"")))</f>
        <v/>
      </c>
      <c r="BU8" s="14"/>
      <c r="BV8" s="8"/>
      <c r="CC8" s="23"/>
      <c r="EQ8" s="104"/>
      <c r="ER8" s="102">
        <f>INT(ER7)</f>
        <v>-21</v>
      </c>
      <c r="FC8" s="26"/>
      <c r="FD8" s="14"/>
      <c r="FE8" s="14"/>
      <c r="FF8" s="14"/>
      <c r="FG8" s="14"/>
      <c r="FH8" s="14"/>
      <c r="FI8" s="14"/>
      <c r="FJ8" s="14"/>
      <c r="FK8" s="14"/>
      <c r="FL8" s="14"/>
      <c r="FM8" s="14"/>
      <c r="FN8" s="14"/>
      <c r="FO8" s="14"/>
      <c r="FP8" s="14"/>
      <c r="FQ8" s="14"/>
      <c r="HL8" s="104"/>
      <c r="HM8" s="102">
        <f>INT(HM7)</f>
        <v>-18</v>
      </c>
      <c r="HU8" s="104"/>
      <c r="HV8" s="102">
        <f>INT(HV7)</f>
        <v>-23</v>
      </c>
      <c r="IG8" s="26"/>
      <c r="IH8" s="14"/>
      <c r="II8" s="14"/>
      <c r="IJ8" s="14"/>
      <c r="IK8" s="14"/>
      <c r="IL8" s="26"/>
      <c r="IM8" s="14"/>
      <c r="IN8" s="14"/>
      <c r="IO8" s="14"/>
      <c r="IP8" s="102">
        <f>INT(IP7)</f>
        <v>0</v>
      </c>
      <c r="IQ8" s="14"/>
      <c r="IR8" s="14"/>
      <c r="IS8" s="14"/>
      <c r="IT8" s="14"/>
      <c r="IU8" s="14"/>
      <c r="IV8" s="14"/>
      <c r="IW8" s="14"/>
      <c r="IX8" s="14"/>
      <c r="IY8" s="14"/>
      <c r="IZ8" s="14"/>
    </row>
    <row r="9" spans="1:260" ht="15.95" customHeight="1">
      <c r="A9" s="390"/>
      <c r="B9" s="393" t="str">
        <f>I60</f>
        <v>D = thread diameter (mm)</v>
      </c>
      <c r="C9" s="154">
        <v>8</v>
      </c>
      <c r="D9" s="390"/>
      <c r="E9" s="390"/>
      <c r="F9" s="391"/>
      <c r="G9" s="384" t="str">
        <f>IF(BW21=0,"",BW21)</f>
        <v>G03 X-4.063 Y3.375 Z0.313 R3,433</v>
      </c>
      <c r="I9" s="5" t="str">
        <f t="shared" si="12"/>
        <v>Siemens 810M</v>
      </c>
      <c r="J9" s="5" t="s">
        <v>1994</v>
      </c>
      <c r="K9" s="5" t="s">
        <v>1994</v>
      </c>
      <c r="L9" s="5" t="s">
        <v>1994</v>
      </c>
      <c r="M9" s="5" t="s">
        <v>543</v>
      </c>
      <c r="N9" s="5" t="s">
        <v>543</v>
      </c>
      <c r="O9" s="5" t="s">
        <v>543</v>
      </c>
      <c r="P9" s="5" t="s">
        <v>543</v>
      </c>
      <c r="Q9" s="5" t="s">
        <v>543</v>
      </c>
      <c r="R9" s="5" t="s">
        <v>543</v>
      </c>
      <c r="S9" s="5" t="s">
        <v>543</v>
      </c>
      <c r="T9" s="5" t="s">
        <v>543</v>
      </c>
      <c r="U9" s="5" t="s">
        <v>543</v>
      </c>
      <c r="V9" s="5" t="s">
        <v>543</v>
      </c>
      <c r="W9" s="5" t="s">
        <v>543</v>
      </c>
      <c r="X9" s="5" t="s">
        <v>543</v>
      </c>
      <c r="Y9" s="43" t="s">
        <v>1770</v>
      </c>
      <c r="Z9" s="5" t="s">
        <v>543</v>
      </c>
      <c r="AA9" s="417" t="s">
        <v>1771</v>
      </c>
      <c r="AB9" s="5" t="s">
        <v>543</v>
      </c>
      <c r="AD9" s="131">
        <v>8</v>
      </c>
      <c r="AE9" s="365">
        <v>1</v>
      </c>
      <c r="AF9" s="365">
        <v>4</v>
      </c>
      <c r="AG9" s="365">
        <v>1</v>
      </c>
      <c r="AH9" s="366" t="s">
        <v>1728</v>
      </c>
      <c r="AI9" s="352">
        <v>6</v>
      </c>
      <c r="AJ9" s="352">
        <v>1.96</v>
      </c>
      <c r="AK9" s="354">
        <v>4</v>
      </c>
      <c r="AL9" s="367">
        <v>0.45</v>
      </c>
      <c r="AM9" s="356">
        <v>5.3</v>
      </c>
      <c r="AN9" s="357">
        <v>57</v>
      </c>
      <c r="AO9" s="349">
        <v>2.4</v>
      </c>
      <c r="AP9" s="55">
        <f t="shared" si="0"/>
        <v>8</v>
      </c>
      <c r="AQ9" s="16">
        <f t="shared" si="1"/>
        <v>8</v>
      </c>
      <c r="AR9" s="16" t="b">
        <f t="shared" si="2"/>
        <v>0</v>
      </c>
      <c r="AS9" s="16" t="b">
        <f t="shared" si="3"/>
        <v>0</v>
      </c>
      <c r="AT9" s="16">
        <f t="shared" si="4"/>
        <v>8</v>
      </c>
      <c r="AU9" s="16" t="b">
        <f t="shared" si="5"/>
        <v>0</v>
      </c>
      <c r="AV9" t="e">
        <f t="shared" si="10"/>
        <v>#N/A</v>
      </c>
      <c r="AW9" t="e">
        <f t="shared" si="6"/>
        <v>#N/A</v>
      </c>
      <c r="AX9" t="e">
        <f t="shared" si="7"/>
        <v>#N/A</v>
      </c>
      <c r="AY9" t="b">
        <f t="shared" si="8"/>
        <v>1</v>
      </c>
      <c r="AZ9" t="str">
        <f t="shared" si="9"/>
        <v/>
      </c>
      <c r="BA9" s="61">
        <v>7</v>
      </c>
      <c r="BB9" s="157">
        <v>40</v>
      </c>
      <c r="BC9" s="158">
        <v>8.0000000000000002E-3</v>
      </c>
      <c r="BD9" s="158">
        <v>0.01</v>
      </c>
      <c r="BE9" s="77"/>
      <c r="BF9" s="63"/>
      <c r="BH9" s="11"/>
      <c r="BI9" s="10"/>
      <c r="BK9" s="76"/>
      <c r="BM9" s="65"/>
      <c r="BO9" s="7" t="s">
        <v>378</v>
      </c>
      <c r="BP9" s="17">
        <f>LOOKUP(C11,BP10:BP19,BO10:BO19)</f>
        <v>1</v>
      </c>
      <c r="BS9" s="83" t="s">
        <v>377</v>
      </c>
      <c r="BT9" s="14" t="str">
        <f>IF(BP42=2,10000,"")</f>
        <v/>
      </c>
      <c r="BU9" s="14"/>
      <c r="BV9" s="8">
        <v>3</v>
      </c>
      <c r="BW9" s="54" t="str">
        <f>LOOKUP(BT$54,BX$2:EM$2,BX9:EM9)</f>
        <v>G91 G00 Z-20.813</v>
      </c>
      <c r="BX9" s="23" t="s">
        <v>123</v>
      </c>
      <c r="BY9" s="23" t="str">
        <f t="shared" si="11"/>
        <v>G91 G00 Z-20.813</v>
      </c>
      <c r="BZ9" s="23" t="str">
        <f>BY9</f>
        <v>G91 G00 Z-20.813</v>
      </c>
      <c r="CA9" s="23" t="str">
        <f>BY9</f>
        <v>G91 G00 Z-20.813</v>
      </c>
      <c r="CB9" s="23" t="str">
        <f>BZ9</f>
        <v>G91 G00 Z-20.813</v>
      </c>
      <c r="CC9" s="23" t="str">
        <f>BY9</f>
        <v>G91 G00 Z-20.813</v>
      </c>
      <c r="CD9" s="23" t="str">
        <f>BZ9</f>
        <v>G91 G00 Z-20.813</v>
      </c>
      <c r="CE9" s="23" t="str">
        <f>BY9</f>
        <v>G91 G00 Z-20.813</v>
      </c>
      <c r="CF9" s="23" t="str">
        <f>BZ9</f>
        <v>G91 G00 Z-20.813</v>
      </c>
      <c r="CG9" s="23" t="str">
        <f>CE9</f>
        <v>G91 G00 Z-20.813</v>
      </c>
      <c r="CH9" s="23" t="str">
        <f>$CF$9</f>
        <v>G91 G00 Z-20.813</v>
      </c>
      <c r="CI9" s="23" t="str">
        <f>CG9</f>
        <v>G91 G00 Z-20.813</v>
      </c>
      <c r="CJ9" s="23" t="str">
        <f>$CF$9</f>
        <v>G91 G00 Z-20.813</v>
      </c>
      <c r="CK9" s="23" t="str">
        <f>CG9</f>
        <v>G91 G00 Z-20.813</v>
      </c>
      <c r="CL9" s="23" t="str">
        <f>$CF$9</f>
        <v>G91 G00 Z-20.813</v>
      </c>
      <c r="CM9" s="23" t="str">
        <f>CG9</f>
        <v>G91 G00 Z-20.813</v>
      </c>
      <c r="CN9" s="23" t="str">
        <f>$CF$9</f>
        <v>G91 G00 Z-20.813</v>
      </c>
      <c r="CO9" s="23" t="str">
        <f>CG9</f>
        <v>G91 G00 Z-20.813</v>
      </c>
      <c r="CP9" s="23" t="str">
        <f>$CF$9</f>
        <v>G91 G00 Z-20.813</v>
      </c>
      <c r="CQ9" s="23" t="str">
        <f>CG9</f>
        <v>G91 G00 Z-20.813</v>
      </c>
      <c r="CR9" s="23" t="str">
        <f>$CF$9</f>
        <v>G91 G00 Z-20.813</v>
      </c>
      <c r="CS9" s="23" t="str">
        <f>CG9</f>
        <v>G91 G00 Z-20.813</v>
      </c>
      <c r="CT9" s="23" t="str">
        <f>$CF$9</f>
        <v>G91 G00 Z-20.813</v>
      </c>
      <c r="CU9" s="23" t="str">
        <f>CG9</f>
        <v>G91 G00 Z-20.813</v>
      </c>
      <c r="CV9" s="23" t="str">
        <f>$CF$9</f>
        <v>G91 G00 Z-20.813</v>
      </c>
      <c r="CW9" s="23" t="str">
        <f>CG9</f>
        <v>G91 G00 Z-20.813</v>
      </c>
      <c r="CX9" s="23" t="str">
        <f>$CF$9</f>
        <v>G91 G00 Z-20.813</v>
      </c>
      <c r="CY9" s="23" t="str">
        <f>CG9</f>
        <v>G91 G00 Z-20.813</v>
      </c>
      <c r="CZ9" s="23" t="str">
        <f>$CF$9</f>
        <v>G91 G00 Z-20.813</v>
      </c>
      <c r="DA9" s="23" t="str">
        <f>CG9</f>
        <v>G91 G00 Z-20.813</v>
      </c>
      <c r="DB9" s="23" t="str">
        <f>$CF$9</f>
        <v>G91 G00 Z-20.813</v>
      </c>
      <c r="DC9" s="23" t="str">
        <f>CG9</f>
        <v>G91 G00 Z-20.813</v>
      </c>
      <c r="DD9" s="23" t="str">
        <f>$CF$9</f>
        <v>G91 G00 Z-20.813</v>
      </c>
      <c r="DE9" s="23" t="str">
        <f>CONCATENATE(IM9,IN9,IO9,IP9,IQ9,IR9,IS9,IT9,IU9,IV9,IW9,IX9,IY9,IZ9)</f>
        <v>G90 G00 Z0.313</v>
      </c>
      <c r="DF9" s="23" t="str">
        <f>CONCATENATE(IM9,IN9,IO9,IP9,IQ9,IR9,IS9,IT9,IU9,IV9,IW9,IX9,IY9,IZ9)</f>
        <v>G90 G00 Z0.313</v>
      </c>
      <c r="DG9" s="23" t="str">
        <f>$DE$9</f>
        <v>G90 G00 Z0.313</v>
      </c>
      <c r="DH9" s="23" t="str">
        <f>$DF$9</f>
        <v>G90 G00 Z0.313</v>
      </c>
      <c r="DI9" s="23" t="str">
        <f>$DE$9</f>
        <v>G90 G00 Z0.313</v>
      </c>
      <c r="DJ9" s="23" t="str">
        <f>$DF$9</f>
        <v>G90 G00 Z0.313</v>
      </c>
      <c r="DK9" s="23" t="str">
        <f>$DE$9</f>
        <v>G90 G00 Z0.313</v>
      </c>
      <c r="DL9" s="23" t="str">
        <f>$DF$9</f>
        <v>G90 G00 Z0.313</v>
      </c>
      <c r="DM9" s="23" t="str">
        <f>$DE$9</f>
        <v>G90 G00 Z0.313</v>
      </c>
      <c r="DN9" s="23" t="str">
        <f>$DF$9</f>
        <v>G90 G00 Z0.313</v>
      </c>
      <c r="DO9" s="23" t="str">
        <f>$DE$9</f>
        <v>G90 G00 Z0.313</v>
      </c>
      <c r="DP9" s="23" t="str">
        <f>$DF$9</f>
        <v>G90 G00 Z0.313</v>
      </c>
      <c r="DQ9" s="23" t="str">
        <f>$DE$9</f>
        <v>G90 G00 Z0.313</v>
      </c>
      <c r="DR9" s="23" t="str">
        <f>$DF$9</f>
        <v>G90 G00 Z0.313</v>
      </c>
      <c r="DS9" s="23" t="str">
        <f>$DE$9</f>
        <v>G90 G00 Z0.313</v>
      </c>
      <c r="DT9" s="23" t="str">
        <f>$DF$9</f>
        <v>G90 G00 Z0.313</v>
      </c>
      <c r="DU9" s="23" t="str">
        <f>$DE$9</f>
        <v>G90 G00 Z0.313</v>
      </c>
      <c r="DV9" s="23" t="str">
        <f>$DF$9</f>
        <v>G90 G00 Z0.313</v>
      </c>
      <c r="DW9" s="23" t="str">
        <f>$DE$9</f>
        <v>G90 G00 Z0.313</v>
      </c>
      <c r="DX9" s="23" t="str">
        <f>$DF$9</f>
        <v>G90 G00 Z0.313</v>
      </c>
      <c r="DY9" s="23" t="str">
        <f>$DE$9</f>
        <v>G90 G00 Z0.313</v>
      </c>
      <c r="DZ9" s="23" t="str">
        <f>$DF$9</f>
        <v>G90 G00 Z0.313</v>
      </c>
      <c r="EA9" s="23" t="str">
        <f>$DE$9</f>
        <v>G90 G00 Z0.313</v>
      </c>
      <c r="EB9" s="23" t="str">
        <f>$DF$9</f>
        <v>G90 G00 Z0.313</v>
      </c>
      <c r="EC9" s="23" t="str">
        <f>$DE$9</f>
        <v>G90 G00 Z0.313</v>
      </c>
      <c r="ED9" s="23" t="str">
        <f>$DF$9</f>
        <v>G90 G00 Z0.313</v>
      </c>
      <c r="EE9" s="23" t="str">
        <f>$DE$9</f>
        <v>G90 G00 Z0.313</v>
      </c>
      <c r="EF9" s="23" t="str">
        <f>$DF$9</f>
        <v>G90 G00 Z0.313</v>
      </c>
      <c r="EG9" s="23" t="str">
        <f>BY9</f>
        <v>G91 G00 Z-20.813</v>
      </c>
      <c r="EH9" s="23" t="str">
        <f>BZ9</f>
        <v>G91 G00 Z-20.813</v>
      </c>
      <c r="EI9" s="23" t="str">
        <f>CONCATENATE(HJ9,HK9,HL9,HM9,HN9,HO9,HP9)</f>
        <v>G90 G00 Z-17.5</v>
      </c>
      <c r="EJ9" s="23" t="str">
        <f>EI9</f>
        <v>G90 G00 Z-17.5</v>
      </c>
      <c r="EK9" s="23" t="str">
        <f>CONCATENATE(HJ9,HK9,HL9,HM9,HN9,HO9,HP9)</f>
        <v>G90 G00 Z-17.5</v>
      </c>
      <c r="EL9" s="23" t="str">
        <f>EK9</f>
        <v>G90 G00 Z-17.5</v>
      </c>
      <c r="EM9" s="23" t="str">
        <f>CONCATENATE(HS9,HT9,HU9,HV9,HW9,HX9,HY9,HZ9,IA9,IB9,IC9,ID9,IE9,IF9)</f>
        <v>G91 G01 Z-22.878 F509</v>
      </c>
      <c r="EN9" s="26">
        <v>3</v>
      </c>
      <c r="EO9" s="14" t="s">
        <v>180</v>
      </c>
      <c r="EP9" s="14" t="s">
        <v>175</v>
      </c>
      <c r="EQ9" s="14" t="s">
        <v>181</v>
      </c>
      <c r="ER9" s="14" t="str">
        <f>SUBSTITUTE(ER7,",",".")</f>
        <v>-20.813</v>
      </c>
      <c r="ES9" s="14" t="str">
        <f>IF(ER7=ER8,".","")</f>
        <v/>
      </c>
      <c r="ET9" s="14"/>
      <c r="EU9" s="14"/>
      <c r="EV9" s="14"/>
      <c r="EW9" s="14"/>
      <c r="EX9" s="14"/>
      <c r="EY9" s="14"/>
      <c r="FC9" s="26"/>
      <c r="FD9" s="14"/>
      <c r="FE9" s="14"/>
      <c r="FF9" s="14"/>
      <c r="FG9" s="14"/>
      <c r="FH9" s="14"/>
      <c r="FI9" s="14"/>
      <c r="FJ9" s="14"/>
      <c r="FK9" s="14"/>
      <c r="FL9" s="14"/>
      <c r="FM9" s="14"/>
      <c r="FN9" s="14"/>
      <c r="FO9" s="14"/>
      <c r="FP9" s="14"/>
      <c r="FQ9" s="14"/>
      <c r="HI9" s="26">
        <v>3</v>
      </c>
      <c r="HJ9" s="186" t="s">
        <v>446</v>
      </c>
      <c r="HK9" s="14" t="s">
        <v>175</v>
      </c>
      <c r="HL9" s="14" t="s">
        <v>181</v>
      </c>
      <c r="HM9" s="14" t="str">
        <f>SUBSTITUTE(HM7,",",".")</f>
        <v>-17.5</v>
      </c>
      <c r="HN9" s="14" t="str">
        <f>IF(HM7=HM8,".","")</f>
        <v/>
      </c>
      <c r="HO9" s="14"/>
      <c r="HP9" s="14"/>
      <c r="HQ9" s="14"/>
      <c r="HR9" s="26">
        <v>3</v>
      </c>
      <c r="HS9" s="14" t="s">
        <v>180</v>
      </c>
      <c r="HT9" s="186" t="s">
        <v>445</v>
      </c>
      <c r="HU9" s="14" t="s">
        <v>181</v>
      </c>
      <c r="HV9" s="14" t="str">
        <f>SUBSTITUTE(HV7,",",".")</f>
        <v>-22.878</v>
      </c>
      <c r="HW9" s="10" t="s">
        <v>1354</v>
      </c>
      <c r="HX9" s="185">
        <f>ROUND(C28*BF47,0)</f>
        <v>509</v>
      </c>
      <c r="HY9" s="14"/>
      <c r="HZ9" s="14"/>
      <c r="IG9" s="26"/>
      <c r="IH9" s="14"/>
      <c r="II9" s="14"/>
      <c r="IJ9" s="14"/>
      <c r="IK9" s="14"/>
      <c r="IL9" s="26">
        <v>3</v>
      </c>
      <c r="IM9" s="14" t="s">
        <v>1753</v>
      </c>
      <c r="IN9" s="14" t="s">
        <v>175</v>
      </c>
      <c r="IO9" s="14" t="s">
        <v>181</v>
      </c>
      <c r="IP9" s="14" t="str">
        <f>SUBSTITUTE(IP7,",",".")</f>
        <v>0.313</v>
      </c>
      <c r="IQ9" s="14" t="str">
        <f>IF(IP7=IP8,".","")</f>
        <v/>
      </c>
      <c r="IR9" s="14"/>
      <c r="IS9" s="14"/>
      <c r="IT9" s="14"/>
      <c r="IU9" s="14"/>
      <c r="IV9" s="14"/>
      <c r="IW9" s="14"/>
      <c r="IX9" s="14"/>
      <c r="IY9" s="14"/>
      <c r="IZ9" s="14"/>
    </row>
    <row r="10" spans="1:260" ht="15.95" customHeight="1">
      <c r="A10" s="390"/>
      <c r="B10" s="394" t="str">
        <f>IF(BL10=1,I61,I62)</f>
        <v>P = pitch (mm)</v>
      </c>
      <c r="C10" s="184">
        <v>1.25</v>
      </c>
      <c r="D10" s="390"/>
      <c r="E10" s="390"/>
      <c r="F10" s="391"/>
      <c r="G10" s="384" t="str">
        <f>IF(BW24=0,"",BW24)</f>
        <v>G00 G40 X0. Y-3.375</v>
      </c>
      <c r="I10" s="5" t="str">
        <f t="shared" si="12"/>
        <v>Num</v>
      </c>
      <c r="J10" s="5" t="s">
        <v>544</v>
      </c>
      <c r="K10" s="5" t="s">
        <v>544</v>
      </c>
      <c r="L10" s="40" t="s">
        <v>807</v>
      </c>
      <c r="M10" s="5" t="s">
        <v>544</v>
      </c>
      <c r="N10" s="5" t="s">
        <v>544</v>
      </c>
      <c r="O10" s="5" t="s">
        <v>544</v>
      </c>
      <c r="P10" s="5" t="s">
        <v>544</v>
      </c>
      <c r="Q10" s="5" t="s">
        <v>544</v>
      </c>
      <c r="R10" s="5" t="s">
        <v>544</v>
      </c>
      <c r="S10" s="5" t="s">
        <v>544</v>
      </c>
      <c r="T10" s="5" t="s">
        <v>544</v>
      </c>
      <c r="U10" s="5" t="s">
        <v>1286</v>
      </c>
      <c r="V10" s="5" t="s">
        <v>544</v>
      </c>
      <c r="W10" s="5" t="s">
        <v>544</v>
      </c>
      <c r="X10" s="5" t="s">
        <v>544</v>
      </c>
      <c r="Y10" s="5" t="s">
        <v>544</v>
      </c>
      <c r="Z10" s="5" t="s">
        <v>544</v>
      </c>
      <c r="AA10" s="46" t="s">
        <v>1772</v>
      </c>
      <c r="AB10" s="5" t="s">
        <v>544</v>
      </c>
      <c r="AD10" s="131">
        <v>9</v>
      </c>
      <c r="AE10" s="365">
        <v>1</v>
      </c>
      <c r="AF10" s="365">
        <v>4</v>
      </c>
      <c r="AG10" s="365">
        <v>1</v>
      </c>
      <c r="AH10" s="366" t="s">
        <v>1729</v>
      </c>
      <c r="AI10" s="352">
        <v>6</v>
      </c>
      <c r="AJ10" s="352">
        <v>1.66</v>
      </c>
      <c r="AK10" s="354">
        <v>4</v>
      </c>
      <c r="AL10" s="367">
        <v>0.45</v>
      </c>
      <c r="AM10" s="356">
        <v>4.5999999999999996</v>
      </c>
      <c r="AN10" s="357">
        <v>57</v>
      </c>
      <c r="AO10" s="356">
        <v>2.1</v>
      </c>
      <c r="AP10" s="55">
        <f t="shared" si="0"/>
        <v>9</v>
      </c>
      <c r="AQ10" s="16">
        <f t="shared" si="1"/>
        <v>9</v>
      </c>
      <c r="AR10" s="16" t="b">
        <f t="shared" si="2"/>
        <v>0</v>
      </c>
      <c r="AS10" s="16" t="b">
        <f t="shared" si="3"/>
        <v>0</v>
      </c>
      <c r="AT10" s="16">
        <f t="shared" si="4"/>
        <v>9</v>
      </c>
      <c r="AU10" s="16" t="b">
        <f t="shared" si="5"/>
        <v>0</v>
      </c>
      <c r="AV10" t="e">
        <f t="shared" si="10"/>
        <v>#N/A</v>
      </c>
      <c r="AW10" t="e">
        <f t="shared" si="6"/>
        <v>#N/A</v>
      </c>
      <c r="AX10" t="e">
        <f t="shared" si="7"/>
        <v>#N/A</v>
      </c>
      <c r="AY10" t="b">
        <f t="shared" si="8"/>
        <v>1</v>
      </c>
      <c r="AZ10" t="str">
        <f t="shared" si="9"/>
        <v/>
      </c>
      <c r="BA10" s="61">
        <v>8</v>
      </c>
      <c r="BB10" s="157">
        <v>28</v>
      </c>
      <c r="BC10" s="158">
        <v>6.0000000000000001E-3</v>
      </c>
      <c r="BD10" s="158">
        <v>8.0000000000000002E-3</v>
      </c>
      <c r="BE10" s="61"/>
      <c r="BF10" s="65"/>
      <c r="BH10" s="11"/>
      <c r="BI10" s="10"/>
      <c r="BK10" s="77" t="s">
        <v>1038</v>
      </c>
      <c r="BL10" s="36">
        <v>1</v>
      </c>
      <c r="BM10" s="65"/>
      <c r="BO10" s="16">
        <v>1</v>
      </c>
      <c r="BP10" s="16">
        <v>0</v>
      </c>
      <c r="BS10" s="180" t="s">
        <v>1462</v>
      </c>
      <c r="BT10" s="14" t="str">
        <f>IF(BP37=2,100000,(IF(BP37=3,200000,"")))</f>
        <v/>
      </c>
      <c r="BU10" s="14"/>
      <c r="BV10" s="8"/>
      <c r="CC10" s="23"/>
      <c r="DE10" s="23" t="str">
        <f>CONCATENATE(IM10,IN10,IO10,IP10,IQ10,IR10,IS10,IT10,IU10,IV10,IW10,IX10,IY10,IZ10)</f>
        <v/>
      </c>
      <c r="EN10" s="26"/>
      <c r="EO10" s="14"/>
      <c r="EP10" s="14"/>
      <c r="EQ10" s="14"/>
      <c r="ER10" s="14"/>
      <c r="ES10" s="14"/>
      <c r="ET10" s="14"/>
      <c r="EU10" s="14"/>
      <c r="EV10" s="14"/>
      <c r="EW10" s="14"/>
      <c r="EX10" s="14"/>
      <c r="EY10" s="14"/>
      <c r="FC10" s="26"/>
      <c r="FD10" s="14"/>
      <c r="FE10" s="14"/>
      <c r="FF10" s="14"/>
      <c r="FG10" s="14"/>
      <c r="FH10" s="14"/>
      <c r="FI10" s="14"/>
      <c r="FJ10" s="14"/>
      <c r="FK10" s="14"/>
      <c r="FL10" s="14"/>
      <c r="FM10" s="14"/>
      <c r="FN10" s="14"/>
      <c r="FO10" s="16"/>
      <c r="FP10" s="16"/>
      <c r="FQ10" s="16"/>
      <c r="FR10" s="26"/>
      <c r="HI10" s="26"/>
      <c r="HJ10" s="14"/>
      <c r="HK10" s="14"/>
      <c r="HL10" s="14"/>
      <c r="HM10" s="101">
        <f>-ROUND(IF(D18&gt;0,(D18-C9-0.3)/2+((C9+0.3-(IF(D22&gt;0,D22,C22)))/2+(BL6*0.5)),((C9+0.3-(IF(D22&gt;0,D22,C22)))/2+(BL6*0.5))),3)</f>
        <v>-1.7749999999999999</v>
      </c>
      <c r="HN10" s="244"/>
      <c r="HO10" s="14"/>
      <c r="HP10" s="14"/>
      <c r="HQ10" s="14"/>
      <c r="HR10" s="26"/>
      <c r="HS10" s="14"/>
      <c r="HT10" s="14"/>
      <c r="HU10" s="14"/>
      <c r="HV10" s="101">
        <f>BP66</f>
        <v>0.41699999999999998</v>
      </c>
      <c r="HW10" s="14"/>
      <c r="HX10" s="14"/>
      <c r="HY10" s="14"/>
      <c r="HZ10" s="14"/>
      <c r="IG10" s="26"/>
      <c r="IH10" s="14"/>
      <c r="II10" s="14"/>
      <c r="IJ10" s="14"/>
      <c r="IK10" s="14"/>
      <c r="IL10" s="26"/>
      <c r="IM10" s="14"/>
      <c r="IN10" s="14"/>
      <c r="IO10" s="14"/>
      <c r="IP10" s="14"/>
      <c r="IQ10" s="14"/>
      <c r="IR10" s="14"/>
      <c r="IS10" s="14"/>
      <c r="IT10" s="14"/>
      <c r="IU10" s="14"/>
      <c r="IV10" s="14"/>
      <c r="IW10" s="14"/>
      <c r="IX10" s="16"/>
      <c r="IY10" s="16"/>
      <c r="IZ10" s="16"/>
    </row>
    <row r="11" spans="1:260" ht="15.95" customHeight="1">
      <c r="A11" s="390"/>
      <c r="B11" s="394" t="str">
        <f>I63</f>
        <v>L = thread length (mm)</v>
      </c>
      <c r="C11" s="184">
        <v>17.5</v>
      </c>
      <c r="D11" s="390"/>
      <c r="E11" s="390"/>
      <c r="F11" s="391"/>
      <c r="G11" s="384" t="str">
        <f>IF(BW27=0,"",BW27)</f>
        <v>G00 Z18.937</v>
      </c>
      <c r="I11" s="5" t="str">
        <f t="shared" si="12"/>
        <v>Fagor</v>
      </c>
      <c r="J11" s="5" t="s">
        <v>545</v>
      </c>
      <c r="K11" s="5" t="s">
        <v>545</v>
      </c>
      <c r="L11" s="40" t="s">
        <v>809</v>
      </c>
      <c r="M11" s="5" t="s">
        <v>545</v>
      </c>
      <c r="N11" s="5" t="s">
        <v>545</v>
      </c>
      <c r="O11" s="5" t="s">
        <v>545</v>
      </c>
      <c r="P11" s="5" t="s">
        <v>545</v>
      </c>
      <c r="Q11" s="5" t="s">
        <v>545</v>
      </c>
      <c r="R11" s="5" t="s">
        <v>545</v>
      </c>
      <c r="S11" s="5" t="s">
        <v>545</v>
      </c>
      <c r="T11" s="5" t="s">
        <v>545</v>
      </c>
      <c r="U11" s="5" t="s">
        <v>545</v>
      </c>
      <c r="V11" s="5" t="s">
        <v>545</v>
      </c>
      <c r="W11" s="5" t="s">
        <v>545</v>
      </c>
      <c r="X11" s="5" t="s">
        <v>545</v>
      </c>
      <c r="Y11" s="5" t="s">
        <v>545</v>
      </c>
      <c r="Z11" s="5" t="s">
        <v>545</v>
      </c>
      <c r="AA11" s="417" t="s">
        <v>1773</v>
      </c>
      <c r="AB11" s="5" t="s">
        <v>545</v>
      </c>
      <c r="AD11" s="131">
        <v>10</v>
      </c>
      <c r="AE11" s="365">
        <v>1</v>
      </c>
      <c r="AF11" s="365">
        <v>4</v>
      </c>
      <c r="AG11" s="365">
        <v>1</v>
      </c>
      <c r="AH11" s="366" t="s">
        <v>1730</v>
      </c>
      <c r="AI11" s="352">
        <v>6</v>
      </c>
      <c r="AJ11" s="352">
        <v>1.52</v>
      </c>
      <c r="AK11" s="354">
        <v>4</v>
      </c>
      <c r="AL11" s="367">
        <v>0.4</v>
      </c>
      <c r="AM11" s="356">
        <v>4.2</v>
      </c>
      <c r="AN11" s="357">
        <v>57</v>
      </c>
      <c r="AO11" s="356">
        <v>1.9</v>
      </c>
      <c r="AP11" s="55">
        <f t="shared" si="0"/>
        <v>10</v>
      </c>
      <c r="AQ11" s="16">
        <f t="shared" si="1"/>
        <v>10</v>
      </c>
      <c r="AR11" s="16" t="b">
        <f t="shared" si="2"/>
        <v>0</v>
      </c>
      <c r="AS11" s="16" t="b">
        <f t="shared" si="3"/>
        <v>0</v>
      </c>
      <c r="AT11" s="16">
        <f t="shared" si="4"/>
        <v>10</v>
      </c>
      <c r="AU11" s="16" t="b">
        <f t="shared" si="5"/>
        <v>0</v>
      </c>
      <c r="AV11" t="e">
        <f t="shared" si="10"/>
        <v>#N/A</v>
      </c>
      <c r="AW11" t="e">
        <f t="shared" si="6"/>
        <v>#N/A</v>
      </c>
      <c r="AX11" t="e">
        <f t="shared" si="7"/>
        <v>#N/A</v>
      </c>
      <c r="AY11" t="b">
        <f t="shared" si="8"/>
        <v>1</v>
      </c>
      <c r="AZ11" t="str">
        <f t="shared" si="9"/>
        <v/>
      </c>
      <c r="BA11" s="61">
        <v>9</v>
      </c>
      <c r="BB11" s="157">
        <v>100</v>
      </c>
      <c r="BC11" s="158">
        <v>0.04</v>
      </c>
      <c r="BD11" s="158">
        <v>0.08</v>
      </c>
      <c r="BE11" s="59">
        <v>3</v>
      </c>
      <c r="BF11" s="119" t="s">
        <v>1325</v>
      </c>
      <c r="BH11" s="11"/>
      <c r="BI11" s="10"/>
      <c r="BK11" s="78"/>
      <c r="BM11" s="65"/>
      <c r="BO11" s="16">
        <v>2</v>
      </c>
      <c r="BP11" s="20">
        <f>BP4</f>
        <v>17.501000000000001</v>
      </c>
      <c r="BR11" s="36"/>
      <c r="BS11" s="83" t="s">
        <v>376</v>
      </c>
      <c r="BT11" s="14">
        <v>0</v>
      </c>
      <c r="BU11" s="14"/>
      <c r="BV11" s="8"/>
      <c r="CC11" s="23"/>
      <c r="DE11" s="23" t="str">
        <f>CONCATENATE(IM11,IN11,IO11,IP11,IQ11,IR11,IS11,IT11,IU11,IV11,IW11,IX11,IY11,IZ11)</f>
        <v/>
      </c>
      <c r="ER11" s="16"/>
      <c r="ET11" s="16"/>
      <c r="FC11" s="24"/>
      <c r="FD11"/>
      <c r="FE11"/>
      <c r="FF11"/>
      <c r="FH11"/>
      <c r="FJ11"/>
      <c r="FK11"/>
      <c r="FL11"/>
      <c r="FM11"/>
      <c r="FN11"/>
      <c r="FO11" s="16"/>
      <c r="FP11" s="16"/>
      <c r="FQ11" s="16"/>
      <c r="HM11" s="174">
        <f>INT(HM10)</f>
        <v>-2</v>
      </c>
      <c r="HO11" s="16"/>
      <c r="HV11" s="174">
        <f>INT(HV10)</f>
        <v>0</v>
      </c>
      <c r="HX11" s="16"/>
      <c r="IG11" s="24"/>
      <c r="IH11"/>
      <c r="II11"/>
      <c r="IJ11"/>
      <c r="IL11" s="24"/>
      <c r="IM11"/>
      <c r="IN11"/>
      <c r="IO11"/>
      <c r="IQ11"/>
      <c r="IS11"/>
      <c r="IT11"/>
      <c r="IU11"/>
      <c r="IV11"/>
      <c r="IW11"/>
      <c r="IX11" s="16"/>
      <c r="IY11" s="16"/>
      <c r="IZ11" s="16"/>
    </row>
    <row r="12" spans="1:260" ht="15.95" customHeight="1">
      <c r="A12" s="390"/>
      <c r="B12" s="394" t="str">
        <f>I64</f>
        <v>S = safety distance (mm)</v>
      </c>
      <c r="C12" s="153">
        <v>3</v>
      </c>
      <c r="D12" s="395"/>
      <c r="E12" s="390"/>
      <c r="F12" s="391"/>
      <c r="G12" s="384" t="str">
        <f>IF(BW30=0,"",BW30)</f>
        <v>G90 G49 G00 Z200. M5</v>
      </c>
      <c r="I12" s="5" t="str">
        <f t="shared" si="12"/>
        <v>Mazak</v>
      </c>
      <c r="J12" s="5" t="s">
        <v>546</v>
      </c>
      <c r="K12" s="5" t="s">
        <v>546</v>
      </c>
      <c r="L12" s="40" t="s">
        <v>811</v>
      </c>
      <c r="M12" s="5" t="s">
        <v>546</v>
      </c>
      <c r="N12" s="5" t="s">
        <v>546</v>
      </c>
      <c r="O12" s="5" t="s">
        <v>546</v>
      </c>
      <c r="P12" s="5" t="s">
        <v>546</v>
      </c>
      <c r="Q12" s="5" t="s">
        <v>546</v>
      </c>
      <c r="R12" s="5" t="s">
        <v>546</v>
      </c>
      <c r="S12" s="5" t="s">
        <v>546</v>
      </c>
      <c r="T12" s="5" t="s">
        <v>546</v>
      </c>
      <c r="U12" s="5" t="s">
        <v>546</v>
      </c>
      <c r="V12" s="5" t="s">
        <v>546</v>
      </c>
      <c r="W12" s="5" t="s">
        <v>546</v>
      </c>
      <c r="X12" s="5" t="s">
        <v>546</v>
      </c>
      <c r="Y12" s="43" t="s">
        <v>1774</v>
      </c>
      <c r="Z12" s="5" t="s">
        <v>546</v>
      </c>
      <c r="AA12" s="417" t="s">
        <v>1775</v>
      </c>
      <c r="AB12" s="5" t="s">
        <v>546</v>
      </c>
      <c r="AD12" s="131">
        <v>11</v>
      </c>
      <c r="AE12" s="365">
        <v>1</v>
      </c>
      <c r="AF12" s="365">
        <v>4</v>
      </c>
      <c r="AG12" s="365">
        <v>2</v>
      </c>
      <c r="AH12" s="366" t="s">
        <v>1731</v>
      </c>
      <c r="AI12" s="352">
        <v>10</v>
      </c>
      <c r="AJ12" s="352">
        <v>8.94</v>
      </c>
      <c r="AK12" s="354">
        <v>6</v>
      </c>
      <c r="AL12" s="367">
        <v>14</v>
      </c>
      <c r="AM12" s="356">
        <v>23.3</v>
      </c>
      <c r="AN12" s="357">
        <v>73</v>
      </c>
      <c r="AO12" s="356">
        <v>10.7125</v>
      </c>
      <c r="AP12" s="55">
        <f t="shared" si="0"/>
        <v>11</v>
      </c>
      <c r="AQ12" s="16" t="b">
        <f t="shared" si="1"/>
        <v>0</v>
      </c>
      <c r="AR12" s="16" t="b">
        <f t="shared" si="2"/>
        <v>0</v>
      </c>
      <c r="AS12" s="16">
        <f t="shared" si="3"/>
        <v>11</v>
      </c>
      <c r="AT12" s="16" t="b">
        <f t="shared" si="4"/>
        <v>0</v>
      </c>
      <c r="AU12" s="16" t="b">
        <f t="shared" si="5"/>
        <v>0</v>
      </c>
      <c r="AV12" t="e">
        <f t="shared" si="10"/>
        <v>#N/A</v>
      </c>
      <c r="AW12" t="e">
        <f t="shared" si="6"/>
        <v>#N/A</v>
      </c>
      <c r="AX12" t="e">
        <f t="shared" si="7"/>
        <v>#N/A</v>
      </c>
      <c r="AY12" t="b">
        <f t="shared" si="8"/>
        <v>1</v>
      </c>
      <c r="AZ12" t="str">
        <f t="shared" si="9"/>
        <v/>
      </c>
      <c r="BA12" s="61">
        <v>10</v>
      </c>
      <c r="BB12" s="157">
        <v>80</v>
      </c>
      <c r="BC12" s="158">
        <v>0.03</v>
      </c>
      <c r="BD12" s="158">
        <v>0.06</v>
      </c>
      <c r="BE12" s="116">
        <f>LOOKUP(BE11,AD$2:AD$16,AV$2:AV$16)</f>
        <v>81</v>
      </c>
      <c r="BF12" s="118" t="s">
        <v>1324</v>
      </c>
      <c r="BH12" s="11"/>
      <c r="BI12" s="10"/>
      <c r="BK12" s="78"/>
      <c r="BM12" s="65"/>
      <c r="BO12" s="16">
        <v>3</v>
      </c>
      <c r="BP12" s="20">
        <f>BP11+BP7</f>
        <v>35.001000000000005</v>
      </c>
      <c r="BR12" s="16">
        <f>IF(BP48&lt;3,BP48,(BP48-1))</f>
        <v>13</v>
      </c>
      <c r="BS12" s="83" t="s">
        <v>1744</v>
      </c>
      <c r="BT12" s="14" t="str">
        <f>IF(BP42&gt;2,(BR12*100),"")</f>
        <v/>
      </c>
      <c r="BV12" s="8">
        <v>4</v>
      </c>
      <c r="BW12" s="54" t="str">
        <f>LOOKUP(BT$54,BX$2:EM$2,BX12:EM12)</f>
        <v>G41 D10 X0. Y-3,375 F40</v>
      </c>
      <c r="BY12" s="23" t="str">
        <f t="shared" si="11"/>
        <v>G41 D10 X0. Y-3,375 F40</v>
      </c>
      <c r="BZ12" s="23" t="str">
        <f>CONCATENATE(FD12,FE12,FF12,FG12,FH12,FI12,FJ12)</f>
        <v>G41 D10 X0. Y-3,375 F35</v>
      </c>
      <c r="CA12" s="23" t="str">
        <f>CONCATENATE(FS12,FT12)</f>
        <v>#1=1</v>
      </c>
      <c r="CB12" s="23" t="str">
        <f>CA12</f>
        <v>#1=1</v>
      </c>
      <c r="CC12" s="4" t="str">
        <f>BY12</f>
        <v>G41 D10 X0. Y-3,375 F40</v>
      </c>
      <c r="CD12" s="23" t="str">
        <f>BZ12</f>
        <v>G41 D10 X0. Y-3,375 F35</v>
      </c>
      <c r="CE12" s="23" t="str">
        <f>BY12</f>
        <v>G41 D10 X0. Y-3,375 F40</v>
      </c>
      <c r="CF12" s="23" t="str">
        <f>BZ12</f>
        <v>G41 D10 X0. Y-3,375 F35</v>
      </c>
      <c r="CG12" s="23" t="str">
        <f>CE12</f>
        <v>G41 D10 X0. Y-3,375 F40</v>
      </c>
      <c r="CH12" s="23" t="str">
        <f>$CF$12</f>
        <v>G41 D10 X0. Y-3,375 F35</v>
      </c>
      <c r="CI12" s="23" t="str">
        <f>CG12</f>
        <v>G41 D10 X0. Y-3,375 F40</v>
      </c>
      <c r="CJ12" s="23" t="str">
        <f>$CF$12</f>
        <v>G41 D10 X0. Y-3,375 F35</v>
      </c>
      <c r="CK12" s="23" t="str">
        <f>CG12</f>
        <v>G41 D10 X0. Y-3,375 F40</v>
      </c>
      <c r="CL12" s="23" t="str">
        <f>$CF$12</f>
        <v>G41 D10 X0. Y-3,375 F35</v>
      </c>
      <c r="CM12" s="23" t="str">
        <f>CG12</f>
        <v>G41 D10 X0. Y-3,375 F40</v>
      </c>
      <c r="CN12" s="23" t="str">
        <f>$CF$12</f>
        <v>G41 D10 X0. Y-3,375 F35</v>
      </c>
      <c r="CO12" s="23" t="str">
        <f>CG12</f>
        <v>G41 D10 X0. Y-3,375 F40</v>
      </c>
      <c r="CP12" s="23" t="str">
        <f>$CF$12</f>
        <v>G41 D10 X0. Y-3,375 F35</v>
      </c>
      <c r="CQ12" s="23" t="str">
        <f>CG12</f>
        <v>G41 D10 X0. Y-3,375 F40</v>
      </c>
      <c r="CR12" s="23" t="str">
        <f>$CF$12</f>
        <v>G41 D10 X0. Y-3,375 F35</v>
      </c>
      <c r="CS12" s="23" t="str">
        <f>CG12</f>
        <v>G41 D10 X0. Y-3,375 F40</v>
      </c>
      <c r="CT12" s="23" t="str">
        <f>$CF$12</f>
        <v>G41 D10 X0. Y-3,375 F35</v>
      </c>
      <c r="CU12" s="23" t="str">
        <f>CG12</f>
        <v>G41 D10 X0. Y-3,375 F40</v>
      </c>
      <c r="CV12" s="23" t="str">
        <f>$CF$12</f>
        <v>G41 D10 X0. Y-3,375 F35</v>
      </c>
      <c r="CW12" s="23" t="str">
        <f>CG12</f>
        <v>G41 D10 X0. Y-3,375 F40</v>
      </c>
      <c r="CX12" s="23" t="str">
        <f>$CF$12</f>
        <v>G41 D10 X0. Y-3,375 F35</v>
      </c>
      <c r="CY12" s="23" t="str">
        <f>CG12</f>
        <v>G41 D10 X0. Y-3,375 F40</v>
      </c>
      <c r="CZ12" s="23" t="str">
        <f>$CF$12</f>
        <v>G41 D10 X0. Y-3,375 F35</v>
      </c>
      <c r="DA12" s="23" t="str">
        <f>CG12</f>
        <v>G41 D10 X0. Y-3,375 F40</v>
      </c>
      <c r="DB12" s="23" t="str">
        <f>$CF$12</f>
        <v>G41 D10 X0. Y-3,375 F35</v>
      </c>
      <c r="DC12" s="23" t="str">
        <f>CG12</f>
        <v>G41 D10 X0. Y-3,375 F40</v>
      </c>
      <c r="DD12" s="23" t="str">
        <f>$CF$12</f>
        <v>G41 D10 X0. Y-3,375 F35</v>
      </c>
      <c r="DE12" s="23" t="str">
        <f>CONCATENATE(IM12,IN12,IO12,IP12,IQ12,IR12,IS12,IT12,IU12,IV12,IW12,IX12,IY12,IZ12)</f>
        <v>G91 G42 D10 X0. Y3,375 F40</v>
      </c>
      <c r="DF12" s="23" t="str">
        <f>CONCATENATE(IM38,IN38,IO38,IP38,IQ38,IR38,IS38,IT38,IU38,IV38,IW38,IX38,IY38,IZ38)</f>
        <v>G91 G42 D10 X0. Y3,375 F35</v>
      </c>
      <c r="DG12" s="23" t="str">
        <f>$DE$12</f>
        <v>G91 G42 D10 X0. Y3,375 F40</v>
      </c>
      <c r="DH12" s="23" t="str">
        <f>$DF$12</f>
        <v>G91 G42 D10 X0. Y3,375 F35</v>
      </c>
      <c r="DI12" s="23" t="str">
        <f>$DE$12</f>
        <v>G91 G42 D10 X0. Y3,375 F40</v>
      </c>
      <c r="DJ12" s="23" t="str">
        <f>$DF$12</f>
        <v>G91 G42 D10 X0. Y3,375 F35</v>
      </c>
      <c r="DK12" s="23" t="str">
        <f>$DE$12</f>
        <v>G91 G42 D10 X0. Y3,375 F40</v>
      </c>
      <c r="DL12" s="23" t="str">
        <f>$DF$12</f>
        <v>G91 G42 D10 X0. Y3,375 F35</v>
      </c>
      <c r="DM12" s="23" t="str">
        <f>$DE$12</f>
        <v>G91 G42 D10 X0. Y3,375 F40</v>
      </c>
      <c r="DN12" s="23" t="str">
        <f>$DF$12</f>
        <v>G91 G42 D10 X0. Y3,375 F35</v>
      </c>
      <c r="DO12" s="23" t="str">
        <f>$DE$12</f>
        <v>G91 G42 D10 X0. Y3,375 F40</v>
      </c>
      <c r="DP12" s="23" t="str">
        <f>$DF$12</f>
        <v>G91 G42 D10 X0. Y3,375 F35</v>
      </c>
      <c r="DQ12" s="23" t="str">
        <f>$DE$12</f>
        <v>G91 G42 D10 X0. Y3,375 F40</v>
      </c>
      <c r="DR12" s="23" t="str">
        <f>$DF$12</f>
        <v>G91 G42 D10 X0. Y3,375 F35</v>
      </c>
      <c r="DS12" s="23" t="str">
        <f>$DE$12</f>
        <v>G91 G42 D10 X0. Y3,375 F40</v>
      </c>
      <c r="DT12" s="23" t="str">
        <f>$DF$12</f>
        <v>G91 G42 D10 X0. Y3,375 F35</v>
      </c>
      <c r="DU12" s="23" t="str">
        <f>$DE$12</f>
        <v>G91 G42 D10 X0. Y3,375 F40</v>
      </c>
      <c r="DV12" s="23" t="str">
        <f>$DF$12</f>
        <v>G91 G42 D10 X0. Y3,375 F35</v>
      </c>
      <c r="DW12" s="23" t="str">
        <f>$DE$12</f>
        <v>G91 G42 D10 X0. Y3,375 F40</v>
      </c>
      <c r="DX12" s="23" t="str">
        <f>$DF$12</f>
        <v>G91 G42 D10 X0. Y3,375 F35</v>
      </c>
      <c r="DY12" s="23" t="str">
        <f>$DE$12</f>
        <v>G91 G42 D10 X0. Y3,375 F40</v>
      </c>
      <c r="DZ12" s="23" t="str">
        <f>$DF$12</f>
        <v>G91 G42 D10 X0. Y3,375 F35</v>
      </c>
      <c r="EA12" s="23" t="str">
        <f>$DE$12</f>
        <v>G91 G42 D10 X0. Y3,375 F40</v>
      </c>
      <c r="EB12" s="23" t="str">
        <f>$DF$12</f>
        <v>G91 G42 D10 X0. Y3,375 F35</v>
      </c>
      <c r="EC12" s="23" t="str">
        <f>$DE$12</f>
        <v>G91 G42 D10 X0. Y3,375 F40</v>
      </c>
      <c r="ED12" s="23" t="str">
        <f>$DF$12</f>
        <v>G91 G42 D10 X0. Y3,375 F35</v>
      </c>
      <c r="EE12" s="23" t="str">
        <f>$DE$12</f>
        <v>G91 G42 D10 X0. Y3,375 F40</v>
      </c>
      <c r="EF12" s="23" t="str">
        <f>$DF$12</f>
        <v>G91 G42 D10 X0. Y3,375 F35</v>
      </c>
      <c r="EG12" s="23" t="str">
        <f>BY12</f>
        <v>G41 D10 X0. Y-3,375 F40</v>
      </c>
      <c r="EH12" s="23" t="str">
        <f>BZ12</f>
        <v>G41 D10 X0. Y-3,375 F35</v>
      </c>
      <c r="EI12" s="23" t="str">
        <f>CONCATENATE(HJ12,HK12,HL12,HM12,HN12,HO12,HP12)</f>
        <v>G91 G01 Z-1.775 F64</v>
      </c>
      <c r="EJ12" s="23" t="str">
        <f>EI12</f>
        <v>G91 G01 Z-1.775 F64</v>
      </c>
      <c r="EK12" s="23" t="str">
        <f>CONCATENATE(HJ12,HK12,HL12,HM12,HN12,HO12,HP12)</f>
        <v>G91 G01 Z-1.775 F64</v>
      </c>
      <c r="EL12" s="23" t="str">
        <f>EK12</f>
        <v>G91 G01 Z-1.775 F64</v>
      </c>
      <c r="EM12" s="23" t="str">
        <f>CONCATENATE(HS12,HT12,HU12,HV12,HW12,HX12,HY12,HZ12,IA12,IB12,IC12,ID12,IE12,IF12)</f>
        <v>G91 G01 Z0.417</v>
      </c>
      <c r="EN12" s="26">
        <v>4</v>
      </c>
      <c r="EO12" s="14" t="s">
        <v>1353</v>
      </c>
      <c r="EP12" s="418" t="s">
        <v>644</v>
      </c>
      <c r="EQ12" s="14" t="s">
        <v>1350</v>
      </c>
      <c r="ER12" s="14" t="s">
        <v>1352</v>
      </c>
      <c r="ES12" s="10">
        <f>$BP$55</f>
        <v>-3.375</v>
      </c>
      <c r="ET12" s="186" t="s">
        <v>1354</v>
      </c>
      <c r="EU12" s="14">
        <f>ROUND(C30*0.5,0)</f>
        <v>40</v>
      </c>
      <c r="EV12" s="6"/>
      <c r="EW12" s="14"/>
      <c r="EX12" s="14"/>
      <c r="EY12" s="14"/>
      <c r="FC12" s="26">
        <v>4</v>
      </c>
      <c r="FD12" s="14" t="s">
        <v>1353</v>
      </c>
      <c r="FE12" s="418" t="s">
        <v>1757</v>
      </c>
      <c r="FF12" s="14" t="s">
        <v>1350</v>
      </c>
      <c r="FG12" s="14" t="s">
        <v>1352</v>
      </c>
      <c r="FH12" s="10">
        <f>BP55</f>
        <v>-3.375</v>
      </c>
      <c r="FI12" s="14" t="s">
        <v>1354</v>
      </c>
      <c r="FJ12" s="14">
        <f>ROUND(BM51*0.5,0)</f>
        <v>35</v>
      </c>
      <c r="FK12" s="6"/>
      <c r="FL12" s="14"/>
      <c r="FM12" s="14"/>
      <c r="FN12" s="14"/>
      <c r="FO12" s="16"/>
      <c r="FP12" s="16"/>
      <c r="FQ12" s="16"/>
      <c r="FR12" s="26">
        <v>4</v>
      </c>
      <c r="FS12" s="53" t="s">
        <v>780</v>
      </c>
      <c r="FT12" s="200">
        <f>BP9</f>
        <v>1</v>
      </c>
      <c r="HI12" s="26">
        <v>4</v>
      </c>
      <c r="HJ12" s="14" t="s">
        <v>180</v>
      </c>
      <c r="HK12" s="14" t="s">
        <v>445</v>
      </c>
      <c r="HL12" s="14" t="s">
        <v>181</v>
      </c>
      <c r="HM12" s="14" t="str">
        <f>SUBSTITUTE(HM10,",",".")</f>
        <v>-1.775</v>
      </c>
      <c r="HN12" s="10" t="s">
        <v>1354</v>
      </c>
      <c r="HO12" s="14">
        <f>ROUND(C30*0.8,0)</f>
        <v>64</v>
      </c>
      <c r="HP12" s="14"/>
      <c r="HQ12" s="14"/>
      <c r="HR12" s="26">
        <v>4</v>
      </c>
      <c r="HS12" s="14" t="s">
        <v>180</v>
      </c>
      <c r="HT12" s="14" t="s">
        <v>445</v>
      </c>
      <c r="HU12" s="14" t="s">
        <v>181</v>
      </c>
      <c r="HV12" s="14" t="str">
        <f>SUBSTITUTE(HV10,",",".")</f>
        <v>0.417</v>
      </c>
      <c r="HW12" s="14" t="str">
        <f>IF(HV10=HV11,".","")</f>
        <v/>
      </c>
      <c r="HX12" s="14"/>
      <c r="HY12" s="14"/>
      <c r="HZ12" s="14"/>
      <c r="IG12" s="26"/>
      <c r="IH12" s="14"/>
      <c r="II12" s="14"/>
      <c r="IJ12" s="14"/>
      <c r="IK12" s="14"/>
      <c r="IL12" s="26">
        <v>4</v>
      </c>
      <c r="IM12" s="14" t="s">
        <v>1754</v>
      </c>
      <c r="IN12" s="14" t="s">
        <v>1756</v>
      </c>
      <c r="IO12" s="418" t="s">
        <v>1755</v>
      </c>
      <c r="IP12" s="14" t="s">
        <v>1350</v>
      </c>
      <c r="IQ12" s="14" t="s">
        <v>1352</v>
      </c>
      <c r="IR12" s="416">
        <f>-(BP55)</f>
        <v>3.375</v>
      </c>
      <c r="IS12" s="186" t="s">
        <v>841</v>
      </c>
      <c r="IT12" s="6">
        <f>ROUND(C30*0.5,0)</f>
        <v>40</v>
      </c>
      <c r="IU12" s="14"/>
      <c r="IV12" s="14"/>
      <c r="IW12" s="14"/>
      <c r="IX12" s="16"/>
      <c r="IY12" s="16"/>
      <c r="IZ12" s="16"/>
    </row>
    <row r="13" spans="1:260" ht="15.95" customHeight="1">
      <c r="A13" s="390"/>
      <c r="B13" s="396"/>
      <c r="C13" s="397"/>
      <c r="D13" s="395"/>
      <c r="E13" s="390"/>
      <c r="F13" s="391"/>
      <c r="G13" s="384" t="str">
        <f>IF(BW33=0,"",BW33)</f>
        <v>M30</v>
      </c>
      <c r="I13" s="5" t="str">
        <f t="shared" si="12"/>
        <v>Mitsubishi</v>
      </c>
      <c r="J13" s="5" t="s">
        <v>552</v>
      </c>
      <c r="K13" s="5" t="s">
        <v>552</v>
      </c>
      <c r="L13" s="40" t="s">
        <v>815</v>
      </c>
      <c r="M13" s="5" t="s">
        <v>552</v>
      </c>
      <c r="N13" s="5" t="s">
        <v>552</v>
      </c>
      <c r="O13" s="5" t="s">
        <v>552</v>
      </c>
      <c r="P13" s="5" t="s">
        <v>552</v>
      </c>
      <c r="Q13" s="5" t="s">
        <v>552</v>
      </c>
      <c r="R13" s="5" t="s">
        <v>552</v>
      </c>
      <c r="S13" s="5" t="s">
        <v>552</v>
      </c>
      <c r="T13" s="5" t="s">
        <v>552</v>
      </c>
      <c r="U13" s="5" t="s">
        <v>552</v>
      </c>
      <c r="V13" s="5" t="s">
        <v>552</v>
      </c>
      <c r="W13" s="5" t="s">
        <v>552</v>
      </c>
      <c r="X13" s="5" t="s">
        <v>552</v>
      </c>
      <c r="Y13" s="43" t="s">
        <v>1776</v>
      </c>
      <c r="Z13" s="5" t="s">
        <v>552</v>
      </c>
      <c r="AA13" s="417" t="s">
        <v>1777</v>
      </c>
      <c r="AB13" s="5" t="s">
        <v>552</v>
      </c>
      <c r="AD13" s="131">
        <v>12</v>
      </c>
      <c r="AE13" s="365">
        <v>1</v>
      </c>
      <c r="AF13" s="365">
        <v>4</v>
      </c>
      <c r="AG13" s="365">
        <v>2</v>
      </c>
      <c r="AH13" s="366" t="s">
        <v>1732</v>
      </c>
      <c r="AI13" s="352">
        <v>8</v>
      </c>
      <c r="AJ13" s="352">
        <v>7.62</v>
      </c>
      <c r="AK13" s="354">
        <v>6</v>
      </c>
      <c r="AL13" s="367">
        <v>16</v>
      </c>
      <c r="AM13" s="356">
        <v>20</v>
      </c>
      <c r="AN13" s="357">
        <v>63</v>
      </c>
      <c r="AO13" s="356">
        <v>9.125</v>
      </c>
      <c r="AP13" s="55">
        <f t="shared" si="0"/>
        <v>12</v>
      </c>
      <c r="AQ13" s="16" t="b">
        <f t="shared" si="1"/>
        <v>0</v>
      </c>
      <c r="AR13" s="16" t="b">
        <f t="shared" si="2"/>
        <v>0</v>
      </c>
      <c r="AS13" s="16">
        <f t="shared" si="3"/>
        <v>12</v>
      </c>
      <c r="AT13" s="16" t="b">
        <f t="shared" si="4"/>
        <v>0</v>
      </c>
      <c r="AU13" s="16" t="b">
        <f t="shared" si="5"/>
        <v>0</v>
      </c>
      <c r="AV13" t="e">
        <f t="shared" si="10"/>
        <v>#N/A</v>
      </c>
      <c r="AW13" t="e">
        <f t="shared" si="6"/>
        <v>#N/A</v>
      </c>
      <c r="AX13" t="e">
        <f t="shared" si="7"/>
        <v>#N/A</v>
      </c>
      <c r="AY13" t="b">
        <f t="shared" si="8"/>
        <v>1</v>
      </c>
      <c r="AZ13" t="str">
        <f t="shared" si="9"/>
        <v/>
      </c>
      <c r="BA13" s="61">
        <v>11</v>
      </c>
      <c r="BB13" s="157">
        <v>100</v>
      </c>
      <c r="BC13" s="158">
        <v>0.04</v>
      </c>
      <c r="BD13" s="158">
        <v>0.08</v>
      </c>
      <c r="BE13" s="117">
        <f>IF(D22&gt;0,D22,C22)</f>
        <v>6</v>
      </c>
      <c r="BF13" s="63" t="s">
        <v>618</v>
      </c>
      <c r="BH13" s="11"/>
      <c r="BI13" s="10"/>
      <c r="BK13" s="78"/>
      <c r="BM13" s="65"/>
      <c r="BO13" s="16">
        <v>4</v>
      </c>
      <c r="BP13" s="20">
        <f>BP12+BP7</f>
        <v>52.501000000000005</v>
      </c>
      <c r="BS13" s="8" t="s">
        <v>1117</v>
      </c>
      <c r="BT13" s="14">
        <f>SUM(BT5:BT12)</f>
        <v>11</v>
      </c>
      <c r="BU13" s="14"/>
      <c r="BV13" s="8"/>
      <c r="CC13" s="23"/>
      <c r="EN13" s="26"/>
      <c r="EO13" s="14"/>
      <c r="EP13" s="14"/>
      <c r="EQ13" s="103">
        <f>ROUND(BP49/2,3)</f>
        <v>4.0629999999999997</v>
      </c>
      <c r="ER13" s="103"/>
      <c r="ES13" s="101">
        <f>-BP55</f>
        <v>3.375</v>
      </c>
      <c r="ET13" s="103"/>
      <c r="EU13" s="103">
        <f>ROUND(BP54,3)</f>
        <v>0.313</v>
      </c>
      <c r="EV13" s="14"/>
      <c r="EW13" s="14"/>
      <c r="EX13" s="14"/>
      <c r="EY13" s="14"/>
      <c r="FC13" s="26"/>
      <c r="FD13" s="14"/>
      <c r="FE13" s="14"/>
      <c r="FF13" s="103">
        <f>ROUND(BJ51/2,3)</f>
        <v>3.84</v>
      </c>
      <c r="FG13" s="103"/>
      <c r="FH13" s="101">
        <f>-BP55</f>
        <v>3.375</v>
      </c>
      <c r="FI13" s="103"/>
      <c r="FJ13" s="103">
        <f>ROUND(BP54,3)</f>
        <v>0.313</v>
      </c>
      <c r="FK13" s="14"/>
      <c r="FL13" s="14"/>
      <c r="FM13" s="14"/>
      <c r="FN13" s="14"/>
      <c r="FO13" s="16"/>
      <c r="FP13" s="16"/>
      <c r="FQ13" s="16"/>
      <c r="FR13" s="26"/>
      <c r="HI13" s="26"/>
      <c r="HJ13" s="14"/>
      <c r="HK13" s="14"/>
      <c r="HL13" s="103"/>
      <c r="HM13" s="175">
        <f>-(BP56-C12)</f>
        <v>-17.812999999999999</v>
      </c>
      <c r="HN13" s="14"/>
      <c r="HO13" s="14"/>
      <c r="HP13" s="14"/>
      <c r="HQ13" s="14"/>
      <c r="HR13" s="26"/>
      <c r="HS13" s="14"/>
      <c r="HT13" s="14"/>
      <c r="HU13" s="103"/>
      <c r="HV13" s="175"/>
      <c r="HW13" s="14"/>
      <c r="HX13" s="14"/>
      <c r="HY13" s="14"/>
      <c r="HZ13" s="14"/>
      <c r="IG13" s="26"/>
      <c r="IH13" s="14"/>
      <c r="II13" s="14"/>
      <c r="IJ13" s="103"/>
      <c r="IK13" s="103"/>
      <c r="IL13" s="26"/>
      <c r="IM13" s="14"/>
      <c r="IN13" s="14"/>
      <c r="IO13" s="103">
        <f>ROUND(BP49/2,3)</f>
        <v>4.0629999999999997</v>
      </c>
      <c r="IP13" s="103"/>
      <c r="IQ13" s="101">
        <f>BP55</f>
        <v>-3.375</v>
      </c>
      <c r="IR13" s="103"/>
      <c r="IS13" s="103">
        <f>ROUND(-BP54,3)</f>
        <v>-0.313</v>
      </c>
      <c r="IT13" s="14"/>
      <c r="IU13" s="14"/>
      <c r="IV13" s="14"/>
      <c r="IW13" s="14"/>
      <c r="IX13" s="16"/>
      <c r="IY13" s="16"/>
      <c r="IZ13" s="16"/>
    </row>
    <row r="14" spans="1:260" ht="15.95" customHeight="1">
      <c r="A14" s="390"/>
      <c r="B14" s="396"/>
      <c r="C14" s="398"/>
      <c r="D14" s="399"/>
      <c r="E14" s="390"/>
      <c r="F14" s="391"/>
      <c r="G14" s="384" t="str">
        <f>IF(BW36=0,"",BW36)</f>
        <v/>
      </c>
      <c r="K14" s="5" t="s">
        <v>93</v>
      </c>
      <c r="X14" s="38"/>
      <c r="AA14" s="46"/>
      <c r="AD14" s="131">
        <v>13</v>
      </c>
      <c r="AE14" s="365">
        <v>1</v>
      </c>
      <c r="AF14" s="365">
        <v>4</v>
      </c>
      <c r="AG14" s="365">
        <v>2</v>
      </c>
      <c r="AH14" s="366" t="s">
        <v>1733</v>
      </c>
      <c r="AI14" s="352">
        <v>8</v>
      </c>
      <c r="AJ14" s="352">
        <v>6.24</v>
      </c>
      <c r="AK14" s="354">
        <v>5</v>
      </c>
      <c r="AL14" s="367">
        <v>18</v>
      </c>
      <c r="AM14" s="356">
        <v>16.7</v>
      </c>
      <c r="AN14" s="357">
        <v>63</v>
      </c>
      <c r="AO14" s="356">
        <v>7.7374999999999998</v>
      </c>
      <c r="AP14" s="55">
        <f t="shared" si="0"/>
        <v>13</v>
      </c>
      <c r="AQ14" s="16">
        <f t="shared" si="1"/>
        <v>13</v>
      </c>
      <c r="AR14" s="16" t="b">
        <f t="shared" si="2"/>
        <v>0</v>
      </c>
      <c r="AS14" s="16" t="b">
        <f t="shared" si="3"/>
        <v>0</v>
      </c>
      <c r="AT14" s="16" t="b">
        <f t="shared" si="4"/>
        <v>0</v>
      </c>
      <c r="AU14" s="16" t="b">
        <f t="shared" si="5"/>
        <v>0</v>
      </c>
      <c r="AV14" t="e">
        <f t="shared" si="10"/>
        <v>#N/A</v>
      </c>
      <c r="AW14" t="e">
        <f t="shared" si="6"/>
        <v>#N/A</v>
      </c>
      <c r="AX14" t="e">
        <f t="shared" si="7"/>
        <v>#N/A</v>
      </c>
      <c r="AY14" t="b">
        <f t="shared" si="8"/>
        <v>1</v>
      </c>
      <c r="AZ14" t="str">
        <f t="shared" si="9"/>
        <v/>
      </c>
      <c r="BA14" s="61">
        <v>12</v>
      </c>
      <c r="BB14" s="157">
        <v>80</v>
      </c>
      <c r="BC14" s="158">
        <v>0.03</v>
      </c>
      <c r="BD14" s="158">
        <v>0.06</v>
      </c>
      <c r="BE14" s="76"/>
      <c r="BF14" s="65"/>
      <c r="BH14" s="11"/>
      <c r="BI14" s="10"/>
      <c r="BK14" s="76"/>
      <c r="BM14" s="65"/>
      <c r="BO14" s="16">
        <v>5</v>
      </c>
      <c r="BP14" s="20">
        <f>BP13+BP7</f>
        <v>70.001000000000005</v>
      </c>
      <c r="BS14" s="14"/>
      <c r="BT14" s="14"/>
      <c r="BU14" s="14"/>
      <c r="BV14" s="8"/>
      <c r="CC14" s="23"/>
      <c r="EN14" s="25"/>
      <c r="EO14" s="16"/>
      <c r="EP14" s="16"/>
      <c r="EQ14" s="102">
        <f>INT(EQ13)</f>
        <v>4</v>
      </c>
      <c r="ER14" s="102"/>
      <c r="ES14" s="102">
        <f>INT(ES13)</f>
        <v>3</v>
      </c>
      <c r="ET14" s="102"/>
      <c r="EU14" s="102">
        <f>INT(EU13)</f>
        <v>0</v>
      </c>
      <c r="EV14" s="16"/>
      <c r="EW14" s="16"/>
      <c r="EX14" s="16"/>
      <c r="EY14" s="16"/>
      <c r="FF14" s="102">
        <f>INT(FF13)</f>
        <v>3</v>
      </c>
      <c r="FG14" s="102"/>
      <c r="FH14" s="102">
        <f>INT(FH13)</f>
        <v>3</v>
      </c>
      <c r="FI14" s="102"/>
      <c r="FJ14" s="102">
        <f>INT(FJ13)</f>
        <v>0</v>
      </c>
      <c r="FO14" s="16"/>
      <c r="FP14" s="16"/>
      <c r="FQ14" s="16"/>
      <c r="FR14" s="25"/>
      <c r="HI14" s="25"/>
      <c r="HL14" s="104"/>
      <c r="HM14" s="102">
        <f>INT(HM13)</f>
        <v>-18</v>
      </c>
      <c r="HR14" s="25"/>
      <c r="HU14" s="104"/>
      <c r="HV14" s="102"/>
      <c r="HZ14" s="16"/>
      <c r="IJ14" s="102"/>
      <c r="IK14" s="102"/>
      <c r="IO14" s="102">
        <f>INT(IO13)</f>
        <v>4</v>
      </c>
      <c r="IP14" s="102"/>
      <c r="IQ14" s="102">
        <f>INT(IQ13)</f>
        <v>-4</v>
      </c>
      <c r="IR14" s="102"/>
      <c r="IS14" s="102">
        <f>INT(IS13)</f>
        <v>-1</v>
      </c>
      <c r="IX14" s="16"/>
      <c r="IY14" s="16"/>
      <c r="IZ14" s="16"/>
    </row>
    <row r="15" spans="1:260" ht="15.95" customHeight="1">
      <c r="A15" s="390"/>
      <c r="B15" s="400"/>
      <c r="C15" s="397"/>
      <c r="D15" s="399"/>
      <c r="E15" s="390"/>
      <c r="F15" s="391"/>
      <c r="G15" s="384" t="str">
        <f>IF(BW39=0,"",BW39)</f>
        <v/>
      </c>
      <c r="X15" s="38"/>
      <c r="AA15" s="46"/>
      <c r="AD15" s="131">
        <v>14</v>
      </c>
      <c r="AE15" s="365">
        <v>1</v>
      </c>
      <c r="AF15" s="365">
        <v>4</v>
      </c>
      <c r="AG15" s="365">
        <v>2</v>
      </c>
      <c r="AH15" s="366" t="s">
        <v>1734</v>
      </c>
      <c r="AI15" s="352">
        <v>6</v>
      </c>
      <c r="AJ15" s="352">
        <v>4.83</v>
      </c>
      <c r="AK15" s="354">
        <v>5</v>
      </c>
      <c r="AL15" s="367">
        <v>20</v>
      </c>
      <c r="AM15" s="356">
        <v>13.3</v>
      </c>
      <c r="AN15" s="357">
        <v>57</v>
      </c>
      <c r="AO15" s="356">
        <v>6.15</v>
      </c>
      <c r="AP15" s="55">
        <f t="shared" si="0"/>
        <v>14</v>
      </c>
      <c r="AQ15" s="16">
        <f t="shared" si="1"/>
        <v>14</v>
      </c>
      <c r="AR15" s="16" t="b">
        <f t="shared" si="2"/>
        <v>0</v>
      </c>
      <c r="AS15" s="16" t="b">
        <f t="shared" si="3"/>
        <v>0</v>
      </c>
      <c r="AT15" s="16" t="b">
        <f t="shared" si="4"/>
        <v>0</v>
      </c>
      <c r="AU15" s="16" t="b">
        <f t="shared" si="5"/>
        <v>0</v>
      </c>
      <c r="AV15" t="e">
        <f t="shared" si="10"/>
        <v>#N/A</v>
      </c>
      <c r="AW15" t="e">
        <f t="shared" si="6"/>
        <v>#N/A</v>
      </c>
      <c r="AX15" t="e">
        <f t="shared" si="7"/>
        <v>#N/A</v>
      </c>
      <c r="AY15" t="b">
        <f t="shared" si="8"/>
        <v>1</v>
      </c>
      <c r="AZ15" t="str">
        <f t="shared" si="9"/>
        <v/>
      </c>
      <c r="BA15" s="61">
        <v>13</v>
      </c>
      <c r="BB15" s="157">
        <v>80</v>
      </c>
      <c r="BC15" s="158">
        <v>0.02</v>
      </c>
      <c r="BD15" s="158">
        <v>0.04</v>
      </c>
      <c r="BE15" s="117">
        <f>IF(D24&gt;0,D24,C24)</f>
        <v>3</v>
      </c>
      <c r="BF15" s="63" t="s">
        <v>620</v>
      </c>
      <c r="BH15" s="11"/>
      <c r="BI15" s="10"/>
      <c r="BK15" s="76"/>
      <c r="BM15" s="65"/>
      <c r="BO15" s="16">
        <v>6</v>
      </c>
      <c r="BP15" s="20">
        <f>BP14+BP7</f>
        <v>87.501000000000005</v>
      </c>
      <c r="BS15" s="14">
        <v>10111</v>
      </c>
      <c r="BT15" s="14">
        <f t="shared" ref="BT15:BT38" si="13">(IF(BT$13=BS15,BT$13,0))</f>
        <v>0</v>
      </c>
      <c r="BU15" s="14"/>
      <c r="BV15" s="8">
        <v>5</v>
      </c>
      <c r="BW15" s="54" t="str">
        <f>LOOKUP(BT$54,BX$2:EM$2,BX15:EM15)</f>
        <v>G03 X4.063 Y3.375 Z0.313 R3,433</v>
      </c>
      <c r="BY15" s="23" t="str">
        <f t="shared" si="11"/>
        <v>G03 X4.063 Y3.375 Z0.313 R3,433</v>
      </c>
      <c r="BZ15" s="23" t="str">
        <f>CONCATENATE(FD15,FE15,FF15,FG15,FH15,FI15,FJ15,FK15,FL15,FM15,FN15)</f>
        <v>G03 X3.84 Y3.375 Z0.313 R3,403</v>
      </c>
      <c r="CA15" s="23" t="str">
        <f>FS15</f>
        <v>#2=0</v>
      </c>
      <c r="CB15" s="23" t="str">
        <f>CA15</f>
        <v>#2=0</v>
      </c>
      <c r="CC15" s="23" t="str">
        <f>BY15</f>
        <v>G03 X4.063 Y3.375 Z0.313 R3,433</v>
      </c>
      <c r="CD15" s="23" t="str">
        <f>BZ15</f>
        <v>G03 X3.84 Y3.375 Z0.313 R3,403</v>
      </c>
      <c r="CE15" s="23" t="str">
        <f>BY15</f>
        <v>G03 X4.063 Y3.375 Z0.313 R3,433</v>
      </c>
      <c r="CF15" s="23" t="str">
        <f>BZ15</f>
        <v>G03 X3.84 Y3.375 Z0.313 R3,403</v>
      </c>
      <c r="CG15" s="23" t="str">
        <f>CE15</f>
        <v>G03 X4.063 Y3.375 Z0.313 R3,433</v>
      </c>
      <c r="CH15" s="23" t="str">
        <f>$CF$15</f>
        <v>G03 X3.84 Y3.375 Z0.313 R3,403</v>
      </c>
      <c r="CI15" s="23" t="str">
        <f>CG15</f>
        <v>G03 X4.063 Y3.375 Z0.313 R3,433</v>
      </c>
      <c r="CJ15" s="23" t="str">
        <f>$CF$15</f>
        <v>G03 X3.84 Y3.375 Z0.313 R3,403</v>
      </c>
      <c r="CK15" s="23" t="str">
        <f>CG15</f>
        <v>G03 X4.063 Y3.375 Z0.313 R3,433</v>
      </c>
      <c r="CL15" s="23" t="str">
        <f>$CF$15</f>
        <v>G03 X3.84 Y3.375 Z0.313 R3,403</v>
      </c>
      <c r="CM15" s="23" t="str">
        <f>CG15</f>
        <v>G03 X4.063 Y3.375 Z0.313 R3,433</v>
      </c>
      <c r="CN15" s="23" t="str">
        <f>$CF$15</f>
        <v>G03 X3.84 Y3.375 Z0.313 R3,403</v>
      </c>
      <c r="CO15" s="23" t="str">
        <f>CG15</f>
        <v>G03 X4.063 Y3.375 Z0.313 R3,433</v>
      </c>
      <c r="CP15" s="23" t="str">
        <f>$CF$15</f>
        <v>G03 X3.84 Y3.375 Z0.313 R3,403</v>
      </c>
      <c r="CQ15" s="23" t="str">
        <f>CG15</f>
        <v>G03 X4.063 Y3.375 Z0.313 R3,433</v>
      </c>
      <c r="CR15" s="23" t="str">
        <f>$CF$15</f>
        <v>G03 X3.84 Y3.375 Z0.313 R3,403</v>
      </c>
      <c r="CS15" s="23" t="str">
        <f>CG15</f>
        <v>G03 X4.063 Y3.375 Z0.313 R3,433</v>
      </c>
      <c r="CT15" s="23" t="str">
        <f>$CF$15</f>
        <v>G03 X3.84 Y3.375 Z0.313 R3,403</v>
      </c>
      <c r="CU15" s="23" t="str">
        <f>CG15</f>
        <v>G03 X4.063 Y3.375 Z0.313 R3,433</v>
      </c>
      <c r="CV15" s="23" t="str">
        <f>$CF$15</f>
        <v>G03 X3.84 Y3.375 Z0.313 R3,403</v>
      </c>
      <c r="CW15" s="23" t="str">
        <f>CG15</f>
        <v>G03 X4.063 Y3.375 Z0.313 R3,433</v>
      </c>
      <c r="CX15" s="23" t="str">
        <f>$CF$15</f>
        <v>G03 X3.84 Y3.375 Z0.313 R3,403</v>
      </c>
      <c r="CY15" s="23" t="str">
        <f>CG15</f>
        <v>G03 X4.063 Y3.375 Z0.313 R3,433</v>
      </c>
      <c r="CZ15" s="23" t="str">
        <f>$CF$15</f>
        <v>G03 X3.84 Y3.375 Z0.313 R3,403</v>
      </c>
      <c r="DA15" s="23" t="str">
        <f>CG15</f>
        <v>G03 X4.063 Y3.375 Z0.313 R3,433</v>
      </c>
      <c r="DB15" s="23" t="str">
        <f>$CF$15</f>
        <v>G03 X3.84 Y3.375 Z0.313 R3,403</v>
      </c>
      <c r="DC15" s="23" t="str">
        <f>CG15</f>
        <v>G03 X4.063 Y3.375 Z0.313 R3,433</v>
      </c>
      <c r="DD15" s="23" t="str">
        <f>$CF$15</f>
        <v>G03 X3.84 Y3.375 Z0.313 R3,403</v>
      </c>
      <c r="DE15" s="23" t="str">
        <f>CONCATENATE(IM15,IN15,IO15,IP15,IQ15,IR15,IS15,IT15,IU15,IV15,IW15,IX15,IY15,IZ15)</f>
        <v>G02 X4.063 Y-3.375 Z-0.313 R3,433</v>
      </c>
      <c r="DF15" s="23" t="str">
        <f>CONCATENATE(IM41,IN41,IO41,IP41,IQ41,IR41,IS41,IT41,IU41,IV41,IW41,IX41,IY41,IZ41)</f>
        <v>G02 X3.84 Y-3.375 Z-0.313 R3,403</v>
      </c>
      <c r="DG15" s="23" t="str">
        <f>$DE$15</f>
        <v>G02 X4.063 Y-3.375 Z-0.313 R3,433</v>
      </c>
      <c r="DH15" s="23" t="str">
        <f>$DF$15</f>
        <v>G02 X3.84 Y-3.375 Z-0.313 R3,403</v>
      </c>
      <c r="DI15" s="23" t="str">
        <f>$DE$15</f>
        <v>G02 X4.063 Y-3.375 Z-0.313 R3,433</v>
      </c>
      <c r="DJ15" s="23" t="str">
        <f>$DF$15</f>
        <v>G02 X3.84 Y-3.375 Z-0.313 R3,403</v>
      </c>
      <c r="DK15" s="23" t="str">
        <f>$DE$15</f>
        <v>G02 X4.063 Y-3.375 Z-0.313 R3,433</v>
      </c>
      <c r="DL15" s="23" t="str">
        <f>$DF$15</f>
        <v>G02 X3.84 Y-3.375 Z-0.313 R3,403</v>
      </c>
      <c r="DM15" s="23" t="str">
        <f>$DE$15</f>
        <v>G02 X4.063 Y-3.375 Z-0.313 R3,433</v>
      </c>
      <c r="DN15" s="23" t="str">
        <f>$DF$15</f>
        <v>G02 X3.84 Y-3.375 Z-0.313 R3,403</v>
      </c>
      <c r="DO15" s="23" t="str">
        <f>$DE$15</f>
        <v>G02 X4.063 Y-3.375 Z-0.313 R3,433</v>
      </c>
      <c r="DP15" s="23" t="str">
        <f>$DF$15</f>
        <v>G02 X3.84 Y-3.375 Z-0.313 R3,403</v>
      </c>
      <c r="DQ15" s="23" t="str">
        <f>$DE$15</f>
        <v>G02 X4.063 Y-3.375 Z-0.313 R3,433</v>
      </c>
      <c r="DR15" s="23" t="str">
        <f>$DF$15</f>
        <v>G02 X3.84 Y-3.375 Z-0.313 R3,403</v>
      </c>
      <c r="DS15" s="23" t="str">
        <f>$DE$15</f>
        <v>G02 X4.063 Y-3.375 Z-0.313 R3,433</v>
      </c>
      <c r="DT15" s="23" t="str">
        <f>$DF$15</f>
        <v>G02 X3.84 Y-3.375 Z-0.313 R3,403</v>
      </c>
      <c r="DU15" s="23" t="str">
        <f>$DE$15</f>
        <v>G02 X4.063 Y-3.375 Z-0.313 R3,433</v>
      </c>
      <c r="DV15" s="23" t="str">
        <f>$DF$15</f>
        <v>G02 X3.84 Y-3.375 Z-0.313 R3,403</v>
      </c>
      <c r="DW15" s="23" t="str">
        <f>$DE$15</f>
        <v>G02 X4.063 Y-3.375 Z-0.313 R3,433</v>
      </c>
      <c r="DX15" s="23" t="str">
        <f>$DF$15</f>
        <v>G02 X3.84 Y-3.375 Z-0.313 R3,403</v>
      </c>
      <c r="DY15" s="23" t="str">
        <f>$DE$15</f>
        <v>G02 X4.063 Y-3.375 Z-0.313 R3,433</v>
      </c>
      <c r="DZ15" s="23" t="str">
        <f>$DF$15</f>
        <v>G02 X3.84 Y-3.375 Z-0.313 R3,403</v>
      </c>
      <c r="EA15" s="23" t="str">
        <f>$DE$15</f>
        <v>G02 X4.063 Y-3.375 Z-0.313 R3,433</v>
      </c>
      <c r="EB15" s="23" t="str">
        <f>$DF$15</f>
        <v>G02 X3.84 Y-3.375 Z-0.313 R3,403</v>
      </c>
      <c r="EC15" s="23" t="str">
        <f>$DE$15</f>
        <v>G02 X4.063 Y-3.375 Z-0.313 R3,433</v>
      </c>
      <c r="ED15" s="23" t="str">
        <f>$DF$15</f>
        <v>G02 X3.84 Y-3.375 Z-0.313 R3,403</v>
      </c>
      <c r="EE15" s="23" t="str">
        <f>$DE$15</f>
        <v>G02 X4.063 Y-3.375 Z-0.313 R3,433</v>
      </c>
      <c r="EF15" s="23" t="str">
        <f>$DF$15</f>
        <v>G02 X3.84 Y-3.375 Z-0.313 R3,403</v>
      </c>
      <c r="EG15" s="23" t="str">
        <f>BY15</f>
        <v>G03 X4.063 Y3.375 Z0.313 R3,433</v>
      </c>
      <c r="EH15" s="23" t="str">
        <f>BZ15</f>
        <v>G03 X3.84 Y3.375 Z0.313 R3,403</v>
      </c>
      <c r="EI15" s="23" t="str">
        <f>CONCATENATE(HJ15,HK15,HL15,HM15,HN15,HO15,HP15)</f>
        <v>G90 G00 Z-17.813</v>
      </c>
      <c r="EJ15" s="23" t="str">
        <f>EI15</f>
        <v>G90 G00 Z-17.813</v>
      </c>
      <c r="EK15" s="23" t="str">
        <f>EI15</f>
        <v>G90 G00 Z-17.813</v>
      </c>
      <c r="EL15" s="23" t="str">
        <f>EK15</f>
        <v>G90 G00 Z-17.813</v>
      </c>
      <c r="EM15" s="23" t="str">
        <f>CONCATENATE(HS15,HT15,HU15,HV15,HW15,HX15,HY15,HZ15,IA15,IB15,IC15,ID15,IE15,IF15)</f>
        <v>G41 D10 X-3 Y0. F48</v>
      </c>
      <c r="EN15" s="26">
        <v>5</v>
      </c>
      <c r="EO15" s="14" t="s">
        <v>675</v>
      </c>
      <c r="EP15" s="14" t="s">
        <v>674</v>
      </c>
      <c r="EQ15" s="14" t="str">
        <f>SUBSTITUTE(EQ13,",",".")</f>
        <v>4.063</v>
      </c>
      <c r="ER15" s="14" t="str">
        <f>IF(EQ13=EQ14,". Y"," Y")</f>
        <v xml:space="preserve"> Y</v>
      </c>
      <c r="ES15" s="14" t="str">
        <f>SUBSTITUTE(ES13,",",".")</f>
        <v>3.375</v>
      </c>
      <c r="ET15" s="14" t="str">
        <f>IF(ES13=ES14,". Z"," Z")</f>
        <v xml:space="preserve"> Z</v>
      </c>
      <c r="EU15" s="14" t="str">
        <f>SUBSTITUTE(EU13,",",".")</f>
        <v>0.313</v>
      </c>
      <c r="EV15" s="418" t="str">
        <f>IF(BT5&gt;1,IF(BT5&gt;2," U"," CR=")," R")</f>
        <v xml:space="preserve"> R</v>
      </c>
      <c r="EW15" s="14">
        <f>BP52</f>
        <v>3.4329999999999998</v>
      </c>
      <c r="EX15" s="186"/>
      <c r="EY15" s="97"/>
      <c r="EZ15" s="14"/>
      <c r="FA15" s="14"/>
      <c r="FB15" s="14"/>
      <c r="FC15" s="26">
        <v>5</v>
      </c>
      <c r="FD15" s="14" t="s">
        <v>675</v>
      </c>
      <c r="FE15" s="14" t="s">
        <v>674</v>
      </c>
      <c r="FF15" s="14" t="str">
        <f>SUBSTITUTE(FF13,",",".")</f>
        <v>3.84</v>
      </c>
      <c r="FG15" s="14" t="str">
        <f>IF(FF13=FF14,". Y"," Y")</f>
        <v xml:space="preserve"> Y</v>
      </c>
      <c r="FH15" s="14" t="str">
        <f>SUBSTITUTE(FH13,",",".")</f>
        <v>3.375</v>
      </c>
      <c r="FI15" s="14" t="str">
        <f>IF(FH13=FH14,". Z"," Z")</f>
        <v xml:space="preserve"> Z</v>
      </c>
      <c r="FJ15" s="14" t="str">
        <f>SUBSTITUTE(FJ13,",",".")</f>
        <v>0.313</v>
      </c>
      <c r="FK15" s="418" t="str">
        <f>IF(BT5&gt;1,IF(BT5&gt;2," U"," CR=")," R")</f>
        <v xml:space="preserve"> R</v>
      </c>
      <c r="FL15" s="14">
        <f>BK51</f>
        <v>3.403</v>
      </c>
      <c r="FM15" s="14"/>
      <c r="FN15" s="14"/>
      <c r="FO15" s="14"/>
      <c r="FP15" s="14"/>
      <c r="FQ15" s="14"/>
      <c r="FR15" s="26">
        <v>5</v>
      </c>
      <c r="FS15" s="53" t="s">
        <v>781</v>
      </c>
      <c r="HI15" s="26">
        <v>5</v>
      </c>
      <c r="HJ15" s="14" t="s">
        <v>446</v>
      </c>
      <c r="HK15" s="14" t="s">
        <v>175</v>
      </c>
      <c r="HL15" s="14" t="s">
        <v>181</v>
      </c>
      <c r="HM15" s="14" t="str">
        <f>SUBSTITUTE(HM13,",",".")</f>
        <v>-17.813</v>
      </c>
      <c r="HN15" s="14" t="str">
        <f>IF(HM13=HM14,".","")</f>
        <v/>
      </c>
      <c r="HO15" s="14"/>
      <c r="HP15" s="14"/>
      <c r="HQ15" s="14"/>
      <c r="HR15" s="26">
        <v>5</v>
      </c>
      <c r="HS15" s="14" t="s">
        <v>1353</v>
      </c>
      <c r="HT15" s="418" t="s">
        <v>644</v>
      </c>
      <c r="HU15" s="186" t="s">
        <v>1073</v>
      </c>
      <c r="HV15" s="10">
        <f>BP64</f>
        <v>-3</v>
      </c>
      <c r="HW15" s="186" t="s">
        <v>1351</v>
      </c>
      <c r="HX15" s="14" t="s">
        <v>1354</v>
      </c>
      <c r="HY15" s="14">
        <f>ROUND(C30*0.6,0)</f>
        <v>48</v>
      </c>
      <c r="HZ15" s="97"/>
      <c r="IA15" s="14"/>
      <c r="IG15" s="26"/>
      <c r="IH15" s="14"/>
      <c r="II15" s="14"/>
      <c r="IJ15" s="14"/>
      <c r="IK15" s="14"/>
      <c r="IL15" s="26">
        <v>5</v>
      </c>
      <c r="IM15" s="14" t="s">
        <v>1749</v>
      </c>
      <c r="IN15" s="14" t="s">
        <v>674</v>
      </c>
      <c r="IO15" s="14" t="str">
        <f>SUBSTITUTE(IO13,",",".")</f>
        <v>4.063</v>
      </c>
      <c r="IP15" s="14" t="str">
        <f>IF(IO13=IO14,". Y"," Y")</f>
        <v xml:space="preserve"> Y</v>
      </c>
      <c r="IQ15" s="14" t="str">
        <f>SUBSTITUTE(IQ13,",",".")</f>
        <v>-3.375</v>
      </c>
      <c r="IR15" s="14" t="str">
        <f>IF(IQ13=IQ14,". Z"," Z")</f>
        <v xml:space="preserve"> Z</v>
      </c>
      <c r="IS15" s="14" t="str">
        <f>SUBSTITUTE(IS13,",",".")</f>
        <v>-0.313</v>
      </c>
      <c r="IT15" s="418" t="str">
        <f>IF(BT5&gt;1,IF(BT5&gt;2," U"," CR=")," R")</f>
        <v xml:space="preserve"> R</v>
      </c>
      <c r="IU15" s="10">
        <f>BP52</f>
        <v>3.4329999999999998</v>
      </c>
      <c r="IV15" s="14"/>
      <c r="IW15" s="14"/>
      <c r="IX15" s="14"/>
      <c r="IY15" s="14"/>
      <c r="IZ15" s="14"/>
    </row>
    <row r="16" spans="1:260" ht="15.95" customHeight="1">
      <c r="A16" s="390"/>
      <c r="B16" s="400"/>
      <c r="C16" s="395"/>
      <c r="D16" s="399"/>
      <c r="E16" s="390"/>
      <c r="F16" s="391"/>
      <c r="G16" s="384" t="str">
        <f>IF(BW42=0,"",BW42)</f>
        <v/>
      </c>
      <c r="X16" s="38"/>
      <c r="AA16" s="46"/>
      <c r="AD16" s="131">
        <v>15</v>
      </c>
      <c r="AE16" s="365">
        <v>1</v>
      </c>
      <c r="AF16" s="365">
        <v>4</v>
      </c>
      <c r="AG16" s="365">
        <v>2</v>
      </c>
      <c r="AH16" s="366" t="s">
        <v>1735</v>
      </c>
      <c r="AI16" s="352">
        <v>6</v>
      </c>
      <c r="AJ16" s="353">
        <v>4.22</v>
      </c>
      <c r="AK16" s="354">
        <v>4</v>
      </c>
      <c r="AL16" s="355">
        <v>24</v>
      </c>
      <c r="AM16" s="356">
        <v>11.5</v>
      </c>
      <c r="AN16" s="357">
        <v>57</v>
      </c>
      <c r="AO16" s="349">
        <v>5.2859999999999996</v>
      </c>
      <c r="AP16" s="55">
        <f t="shared" si="0"/>
        <v>15</v>
      </c>
      <c r="AQ16" s="16">
        <f t="shared" si="1"/>
        <v>15</v>
      </c>
      <c r="AR16" s="16" t="b">
        <f t="shared" si="2"/>
        <v>0</v>
      </c>
      <c r="AS16" s="16" t="b">
        <f t="shared" si="3"/>
        <v>0</v>
      </c>
      <c r="AT16" s="16" t="b">
        <f t="shared" si="4"/>
        <v>0</v>
      </c>
      <c r="AU16" s="16" t="b">
        <f t="shared" si="5"/>
        <v>0</v>
      </c>
      <c r="AV16" t="e">
        <f t="shared" si="10"/>
        <v>#N/A</v>
      </c>
      <c r="AW16" t="e">
        <f t="shared" si="6"/>
        <v>#N/A</v>
      </c>
      <c r="AX16" t="e">
        <f t="shared" si="7"/>
        <v>#N/A</v>
      </c>
      <c r="AY16" t="b">
        <f t="shared" si="8"/>
        <v>1</v>
      </c>
      <c r="AZ16" t="str">
        <f t="shared" si="9"/>
        <v/>
      </c>
      <c r="BA16" s="61">
        <v>14</v>
      </c>
      <c r="BB16" s="157">
        <v>70</v>
      </c>
      <c r="BC16" s="158">
        <v>0.02</v>
      </c>
      <c r="BD16" s="158">
        <v>0.04</v>
      </c>
      <c r="BE16" s="79"/>
      <c r="BF16" s="66"/>
      <c r="BH16" s="11"/>
      <c r="BI16" s="10"/>
      <c r="BK16" s="76"/>
      <c r="BM16" s="65"/>
      <c r="BO16" s="16">
        <v>7</v>
      </c>
      <c r="BP16" s="20">
        <f>BP15+BP7</f>
        <v>105.001</v>
      </c>
      <c r="BS16" s="14">
        <v>10112</v>
      </c>
      <c r="BT16" s="14">
        <f t="shared" si="13"/>
        <v>0</v>
      </c>
      <c r="BV16" s="8"/>
      <c r="EN16" s="26"/>
      <c r="EO16" s="14"/>
      <c r="EP16" s="14"/>
      <c r="EQ16" s="14"/>
      <c r="ER16" s="14"/>
      <c r="ES16" s="14"/>
      <c r="ET16" s="14"/>
      <c r="EU16" s="101">
        <f>BL6</f>
        <v>1.25</v>
      </c>
      <c r="EV16" s="103"/>
      <c r="EW16" s="103">
        <f>-ROUND(BP49/2,3)</f>
        <v>-4.0629999999999997</v>
      </c>
      <c r="EX16" s="14"/>
      <c r="EY16" s="14"/>
      <c r="FC16" s="26"/>
      <c r="FD16" s="14"/>
      <c r="FE16" s="14"/>
      <c r="FF16" s="14"/>
      <c r="FG16" s="14"/>
      <c r="FH16" s="14"/>
      <c r="FI16" s="14"/>
      <c r="FJ16" s="101">
        <f>BL6</f>
        <v>1.25</v>
      </c>
      <c r="FK16" s="103"/>
      <c r="FL16" s="103">
        <f>-ROUND(BJ51/2,3)</f>
        <v>-3.84</v>
      </c>
      <c r="FM16" s="14"/>
      <c r="FN16" s="14"/>
      <c r="FO16" s="16"/>
      <c r="FP16" s="16"/>
      <c r="FQ16" s="16"/>
      <c r="FR16" s="26"/>
      <c r="GJ16" s="423">
        <f>-ROUND((BP49/2),3)</f>
        <v>-4.0629999999999997</v>
      </c>
      <c r="GK16" s="423"/>
      <c r="GL16" s="423">
        <f>ROUND((BP49/2)+(TAN(1.783*PI()/180)*BL6/4),3)</f>
        <v>4.0720000000000001</v>
      </c>
      <c r="GM16" s="423"/>
      <c r="GN16" s="423">
        <f>ROUND(BL6/4,3)</f>
        <v>0.313</v>
      </c>
      <c r="GO16" s="423"/>
      <c r="GP16" s="423">
        <f>-ROUND((BP49/2),3)</f>
        <v>-4.0629999999999997</v>
      </c>
      <c r="GQ16" s="423"/>
      <c r="GR16" s="423">
        <f>ROUND(TAN(1.783*PI()/180)*BL6/4,3)</f>
        <v>0.01</v>
      </c>
      <c r="GS16" s="423"/>
      <c r="GX16" s="14">
        <f>-ROUND((BJ51/2),3)</f>
        <v>-3.84</v>
      </c>
      <c r="GZ16" s="14">
        <f>ROUND((BJ51/2)+(TAN(1.783*PI()/180)*BL6/4),3)</f>
        <v>3.85</v>
      </c>
      <c r="HB16" s="14">
        <f>ROUND(BL6/4,3)</f>
        <v>0.313</v>
      </c>
      <c r="HD16" s="14">
        <f>-ROUND((BJ51/2),3)</f>
        <v>-3.84</v>
      </c>
      <c r="HF16" s="14">
        <f>ROUND(TAN(1.783*PI()/180)*BL6/4,3)</f>
        <v>0.01</v>
      </c>
      <c r="HI16" s="26"/>
      <c r="HJ16" s="14"/>
      <c r="HK16" s="14"/>
      <c r="HL16" s="14"/>
      <c r="HM16" s="14"/>
      <c r="HN16" s="14"/>
      <c r="HO16" s="14"/>
      <c r="HP16" s="14"/>
      <c r="HQ16" s="14"/>
      <c r="HR16" s="26"/>
      <c r="HS16" s="14"/>
      <c r="HT16" s="14"/>
      <c r="HU16" s="187">
        <f>ROUND((BP49/2)-BP64,3)</f>
        <v>7.0629999999999997</v>
      </c>
      <c r="HV16" s="14"/>
      <c r="HW16" s="14"/>
      <c r="HX16" s="14"/>
      <c r="HY16" s="14">
        <f>BP63</f>
        <v>0.625</v>
      </c>
      <c r="HZ16" s="14"/>
      <c r="IG16" s="26"/>
      <c r="IH16" s="14"/>
      <c r="II16" s="14"/>
      <c r="IJ16" s="14"/>
      <c r="IK16" s="14"/>
      <c r="IL16" s="26"/>
      <c r="IM16" s="14"/>
      <c r="IN16" s="14"/>
      <c r="IO16" s="14"/>
      <c r="IP16" s="14"/>
      <c r="IQ16" s="14"/>
      <c r="IR16" s="14"/>
      <c r="IS16" s="101">
        <f>-BL6</f>
        <v>-1.25</v>
      </c>
      <c r="IT16" s="103"/>
      <c r="IU16" s="103">
        <f>-ROUND(BP49/2,3)</f>
        <v>-4.0629999999999997</v>
      </c>
      <c r="IV16" s="14"/>
      <c r="IW16" s="14"/>
      <c r="IX16" s="16"/>
      <c r="IY16" s="16"/>
      <c r="IZ16" s="16"/>
    </row>
    <row r="17" spans="1:260" ht="15.95" customHeight="1">
      <c r="A17" s="390"/>
      <c r="B17" s="400" t="str">
        <f>IF(BP37=3,I66,"")</f>
        <v/>
      </c>
      <c r="C17" s="398" t="str">
        <f>IF(BP37=3,(BP65-C12),"")</f>
        <v/>
      </c>
      <c r="D17" s="399"/>
      <c r="E17" s="390"/>
      <c r="F17" s="391"/>
      <c r="G17" s="384" t="str">
        <f>IF(BW45=0,"",BW45)</f>
        <v/>
      </c>
      <c r="H17" s="16">
        <v>1</v>
      </c>
      <c r="I17" s="142" t="str">
        <f t="shared" ref="I17:I24" si="14">LOOKUP(H$27,J$2:L$2,J17:L17)</f>
        <v>M - Metric</v>
      </c>
      <c r="J17" s="142" t="s">
        <v>256</v>
      </c>
      <c r="K17" s="142" t="s">
        <v>1312</v>
      </c>
      <c r="L17" s="142" t="s">
        <v>818</v>
      </c>
      <c r="M17" s="5" t="s">
        <v>143</v>
      </c>
      <c r="N17" s="5" t="s">
        <v>1432</v>
      </c>
      <c r="O17" s="5" t="s">
        <v>1334</v>
      </c>
      <c r="P17" s="5" t="s">
        <v>651</v>
      </c>
      <c r="Q17" s="5" t="s">
        <v>1312</v>
      </c>
      <c r="R17" s="5" t="s">
        <v>158</v>
      </c>
      <c r="S17" s="5" t="s">
        <v>76</v>
      </c>
      <c r="T17" s="5" t="s">
        <v>1444</v>
      </c>
      <c r="U17" s="5" t="s">
        <v>256</v>
      </c>
      <c r="V17" s="5" t="s">
        <v>69</v>
      </c>
      <c r="W17" s="5" t="s">
        <v>158</v>
      </c>
      <c r="X17" s="38" t="s">
        <v>401</v>
      </c>
      <c r="Y17" s="43" t="s">
        <v>1778</v>
      </c>
      <c r="Z17" s="39" t="s">
        <v>1779</v>
      </c>
      <c r="AA17" s="46" t="s">
        <v>1780</v>
      </c>
      <c r="AB17" s="5" t="s">
        <v>1093</v>
      </c>
      <c r="AD17" s="131">
        <v>16</v>
      </c>
      <c r="AE17" s="365">
        <v>1</v>
      </c>
      <c r="AF17" s="365">
        <v>4</v>
      </c>
      <c r="AG17" s="365">
        <v>2</v>
      </c>
      <c r="AH17" s="366" t="s">
        <v>1736</v>
      </c>
      <c r="AI17" s="352">
        <v>6</v>
      </c>
      <c r="AJ17" s="353">
        <v>3.56</v>
      </c>
      <c r="AK17" s="354">
        <v>4</v>
      </c>
      <c r="AL17" s="355">
        <v>24</v>
      </c>
      <c r="AM17" s="356">
        <v>10.1</v>
      </c>
      <c r="AN17" s="357">
        <v>57</v>
      </c>
      <c r="AO17" s="349">
        <v>4.6260000000000003</v>
      </c>
      <c r="AP17" s="55">
        <f t="shared" si="0"/>
        <v>16</v>
      </c>
      <c r="AQ17" s="16">
        <f t="shared" si="1"/>
        <v>16</v>
      </c>
      <c r="AR17" s="16" t="b">
        <f t="shared" si="2"/>
        <v>0</v>
      </c>
      <c r="AS17" s="16" t="b">
        <f t="shared" si="3"/>
        <v>0</v>
      </c>
      <c r="AT17" s="16" t="b">
        <f t="shared" si="4"/>
        <v>0</v>
      </c>
      <c r="AU17" s="16" t="b">
        <f t="shared" si="5"/>
        <v>0</v>
      </c>
      <c r="AV17" t="e">
        <f t="shared" si="10"/>
        <v>#N/A</v>
      </c>
      <c r="AW17" t="e">
        <f t="shared" si="6"/>
        <v>#N/A</v>
      </c>
      <c r="AX17" t="e">
        <f t="shared" si="7"/>
        <v>#N/A</v>
      </c>
      <c r="AY17" t="b">
        <f t="shared" si="8"/>
        <v>1</v>
      </c>
      <c r="AZ17" t="str">
        <f t="shared" si="9"/>
        <v/>
      </c>
      <c r="BA17" s="61">
        <v>15</v>
      </c>
      <c r="BB17" s="157">
        <v>60</v>
      </c>
      <c r="BC17" s="158">
        <v>1.4999999999999999E-2</v>
      </c>
      <c r="BD17" s="158">
        <v>0.03</v>
      </c>
      <c r="BE17" s="79"/>
      <c r="BF17" s="66"/>
      <c r="BH17" s="11"/>
      <c r="BI17" s="10"/>
      <c r="BK17" s="79"/>
      <c r="BL17" s="9">
        <f>BI65</f>
        <v>8.3800000000000008</v>
      </c>
      <c r="BM17" s="65"/>
      <c r="BO17" s="16">
        <v>8</v>
      </c>
      <c r="BP17" s="20">
        <f>BP16+BP7</f>
        <v>122.501</v>
      </c>
      <c r="BS17" s="14">
        <v>10121</v>
      </c>
      <c r="BT17" s="14">
        <f t="shared" si="13"/>
        <v>0</v>
      </c>
      <c r="BV17" s="8"/>
      <c r="EU17" s="102">
        <f>INT(EU16)</f>
        <v>1</v>
      </c>
      <c r="EV17" s="104"/>
      <c r="EW17" s="102">
        <f>INT(EW16)</f>
        <v>-5</v>
      </c>
      <c r="FC17" s="24"/>
      <c r="FD17"/>
      <c r="FE17"/>
      <c r="FF17"/>
      <c r="FG17"/>
      <c r="FH17"/>
      <c r="FI17"/>
      <c r="FJ17" s="102">
        <f>INT(FJ16)</f>
        <v>1</v>
      </c>
      <c r="FK17" s="104"/>
      <c r="FL17" s="102">
        <f>INT(FL16)</f>
        <v>-4</v>
      </c>
      <c r="FM17"/>
      <c r="FN17"/>
      <c r="FO17" s="16"/>
      <c r="FP17" s="16"/>
      <c r="FQ17" s="16"/>
      <c r="GJ17" s="424">
        <f>INT(GJ16)</f>
        <v>-5</v>
      </c>
      <c r="GK17" s="423"/>
      <c r="GL17" s="424">
        <f>INT(GL16)</f>
        <v>4</v>
      </c>
      <c r="GM17" s="423"/>
      <c r="GN17" s="424">
        <f>INT(GN16)</f>
        <v>0</v>
      </c>
      <c r="GO17" s="423"/>
      <c r="GP17" s="424">
        <f>INT(GP16)</f>
        <v>-5</v>
      </c>
      <c r="GQ17" s="423"/>
      <c r="GR17" s="424">
        <f>INT(GR16)</f>
        <v>0</v>
      </c>
      <c r="GS17" s="423"/>
      <c r="GX17" s="16">
        <f>INT(GX16)</f>
        <v>-4</v>
      </c>
      <c r="GZ17" s="16">
        <f>INT(GZ16)</f>
        <v>3</v>
      </c>
      <c r="HB17" s="16">
        <f>INT(HB16)</f>
        <v>0</v>
      </c>
      <c r="HD17" s="16">
        <f>INT(HD16)</f>
        <v>-4</v>
      </c>
      <c r="HF17" s="16">
        <f>INT(HF16)</f>
        <v>0</v>
      </c>
      <c r="HM17" s="16"/>
      <c r="HO17" s="16"/>
      <c r="HU17" s="102">
        <f>INT(HU16)</f>
        <v>7</v>
      </c>
      <c r="HV17" s="16"/>
      <c r="HX17" s="16"/>
      <c r="HY17" s="102">
        <f>INT(HY16)</f>
        <v>0</v>
      </c>
      <c r="IG17" s="24"/>
      <c r="IH17"/>
      <c r="II17"/>
      <c r="IJ17"/>
      <c r="IK17"/>
      <c r="IL17" s="24"/>
      <c r="IM17"/>
      <c r="IN17"/>
      <c r="IO17"/>
      <c r="IP17"/>
      <c r="IQ17"/>
      <c r="IR17"/>
      <c r="IS17" s="102">
        <f>INT(IS16)</f>
        <v>-2</v>
      </c>
      <c r="IT17" s="104"/>
      <c r="IU17" s="102">
        <f>INT(IU16)</f>
        <v>-5</v>
      </c>
      <c r="IV17"/>
      <c r="IW17"/>
      <c r="IX17" s="16"/>
      <c r="IY17" s="16"/>
      <c r="IZ17" s="16"/>
    </row>
    <row r="18" spans="1:260" ht="15.95" customHeight="1">
      <c r="A18" s="390"/>
      <c r="B18" s="393" t="str">
        <f>IF(BP37=1,"",I65)</f>
        <v/>
      </c>
      <c r="C18" s="401" t="str">
        <f>IF(BP37=1,"",(C9+0.3))</f>
        <v/>
      </c>
      <c r="D18" s="395"/>
      <c r="E18" s="390"/>
      <c r="F18" s="391"/>
      <c r="G18" s="384" t="str">
        <f>IF(BW48=0,"",BW48)</f>
        <v/>
      </c>
      <c r="H18" s="16">
        <v>2</v>
      </c>
      <c r="I18" s="5" t="str">
        <f t="shared" si="14"/>
        <v>UN - Unified</v>
      </c>
      <c r="J18" s="5" t="s">
        <v>553</v>
      </c>
      <c r="K18" s="5" t="s">
        <v>553</v>
      </c>
      <c r="L18" s="5" t="s">
        <v>822</v>
      </c>
      <c r="M18" s="5" t="s">
        <v>553</v>
      </c>
      <c r="N18" s="5" t="s">
        <v>553</v>
      </c>
      <c r="O18" s="5" t="s">
        <v>1335</v>
      </c>
      <c r="P18" s="5" t="s">
        <v>652</v>
      </c>
      <c r="Q18" s="5" t="s">
        <v>553</v>
      </c>
      <c r="R18" s="5" t="s">
        <v>553</v>
      </c>
      <c r="S18" s="5" t="s">
        <v>77</v>
      </c>
      <c r="T18" s="5" t="s">
        <v>553</v>
      </c>
      <c r="U18" s="5" t="s">
        <v>1287</v>
      </c>
      <c r="V18" s="5" t="s">
        <v>70</v>
      </c>
      <c r="W18" s="5" t="s">
        <v>553</v>
      </c>
      <c r="X18" s="38" t="s">
        <v>383</v>
      </c>
      <c r="Y18" s="43" t="s">
        <v>1781</v>
      </c>
      <c r="Z18" s="39" t="s">
        <v>1782</v>
      </c>
      <c r="AA18" s="46" t="s">
        <v>1783</v>
      </c>
      <c r="AB18" s="5" t="s">
        <v>1094</v>
      </c>
      <c r="AD18" s="131">
        <v>17</v>
      </c>
      <c r="AE18" s="365">
        <v>1</v>
      </c>
      <c r="AF18" s="365">
        <v>4</v>
      </c>
      <c r="AG18" s="365">
        <v>2</v>
      </c>
      <c r="AH18" s="366" t="s">
        <v>1737</v>
      </c>
      <c r="AI18" s="352">
        <v>6</v>
      </c>
      <c r="AJ18" s="353">
        <v>3.21</v>
      </c>
      <c r="AK18" s="354">
        <v>4</v>
      </c>
      <c r="AL18" s="355">
        <v>32</v>
      </c>
      <c r="AM18" s="356">
        <v>8.6999999999999993</v>
      </c>
      <c r="AN18" s="357">
        <v>57</v>
      </c>
      <c r="AO18" s="349">
        <v>3.9660000000000002</v>
      </c>
      <c r="AP18" s="55">
        <f t="shared" si="0"/>
        <v>17</v>
      </c>
      <c r="AQ18" s="16">
        <f t="shared" si="1"/>
        <v>17</v>
      </c>
      <c r="AR18" s="16" t="b">
        <f t="shared" si="2"/>
        <v>0</v>
      </c>
      <c r="AS18" s="16" t="b">
        <f t="shared" si="3"/>
        <v>0</v>
      </c>
      <c r="AT18" s="16" t="b">
        <f t="shared" si="4"/>
        <v>0</v>
      </c>
      <c r="AU18" s="16" t="b">
        <f t="shared" si="5"/>
        <v>0</v>
      </c>
      <c r="AV18" t="e">
        <f t="shared" si="10"/>
        <v>#N/A</v>
      </c>
      <c r="AW18" t="e">
        <f t="shared" si="6"/>
        <v>#N/A</v>
      </c>
      <c r="AX18" t="e">
        <f t="shared" si="7"/>
        <v>#N/A</v>
      </c>
      <c r="AY18" t="b">
        <f t="shared" si="8"/>
        <v>1</v>
      </c>
      <c r="AZ18" t="str">
        <f t="shared" si="9"/>
        <v/>
      </c>
      <c r="BA18" s="61">
        <v>16</v>
      </c>
      <c r="BB18" s="157">
        <v>50</v>
      </c>
      <c r="BC18" s="158">
        <v>0.02</v>
      </c>
      <c r="BD18" s="158">
        <v>0.04</v>
      </c>
      <c r="BE18" s="79"/>
      <c r="BF18" s="66"/>
      <c r="BH18" s="11"/>
      <c r="BI18" s="10"/>
      <c r="BK18" s="79"/>
      <c r="BL18" s="9">
        <f>ROUND(BL17,1)</f>
        <v>8.4</v>
      </c>
      <c r="BM18" s="65"/>
      <c r="BO18" s="16">
        <v>9</v>
      </c>
      <c r="BP18" s="20">
        <f>BP17+BP7</f>
        <v>140.001</v>
      </c>
      <c r="BS18" s="14">
        <v>10122</v>
      </c>
      <c r="BT18" s="14">
        <f t="shared" si="13"/>
        <v>0</v>
      </c>
      <c r="BV18" s="8">
        <v>6</v>
      </c>
      <c r="BW18" s="54" t="str">
        <f>LOOKUP(BT$54,BX$2:EM$2,BX18:EM18)</f>
        <v>G03 X0. Y0. Z1.25 I-4.063 J0. F80</v>
      </c>
      <c r="BY18" s="23" t="str">
        <f t="shared" si="11"/>
        <v>G03 X0. Y0. Z1.25 I-4.063 J0. F80</v>
      </c>
      <c r="BZ18" s="23" t="str">
        <f>CONCATENATE(FD18,FE18,FF18,FG18,FH18,FI18,FJ18,FK18,FL18,FM18,FN18,FO18,FP18,FQ18)</f>
        <v>G03 X0. Y0. Z1.25 I-3.84 J0. F70</v>
      </c>
      <c r="CA18" s="23" t="str">
        <f>FS18</f>
        <v>WHILE[#2LT#1]DO1</v>
      </c>
      <c r="CB18" s="23" t="str">
        <f>CA18</f>
        <v>WHILE[#2LT#1]DO1</v>
      </c>
      <c r="CC18" s="4" t="str">
        <f>CONCATENATE(FX18,FY18)</f>
        <v>#1=14</v>
      </c>
      <c r="CD18" s="23" t="str">
        <f>CC18</f>
        <v>#1=14</v>
      </c>
      <c r="CE18" s="375" t="str">
        <f>BY18</f>
        <v>G03 X0. Y0. Z1.25 I-4.063 J0. F80</v>
      </c>
      <c r="CF18" s="375" t="str">
        <f>BZ18</f>
        <v>G03 X0. Y0. Z1.25 I-3.84 J0. F70</v>
      </c>
      <c r="CG18" s="375" t="str">
        <f>CE18</f>
        <v>G03 X0. Y0. Z1.25 I-4.063 J0. F80</v>
      </c>
      <c r="CH18" s="375" t="str">
        <f>$CF$18</f>
        <v>G03 X0. Y0. Z1.25 I-3.84 J0. F70</v>
      </c>
      <c r="CI18" s="375" t="str">
        <f>CG18</f>
        <v>G03 X0. Y0. Z1.25 I-4.063 J0. F80</v>
      </c>
      <c r="CJ18" s="375" t="str">
        <f>$CF$18</f>
        <v>G03 X0. Y0. Z1.25 I-3.84 J0. F70</v>
      </c>
      <c r="CK18" s="375" t="str">
        <f>CG18</f>
        <v>G03 X0. Y0. Z1.25 I-4.063 J0. F80</v>
      </c>
      <c r="CL18" s="375" t="str">
        <f>$CF$18</f>
        <v>G03 X0. Y0. Z1.25 I-3.84 J0. F70</v>
      </c>
      <c r="CM18" s="375" t="str">
        <f>CG18</f>
        <v>G03 X0. Y0. Z1.25 I-4.063 J0. F80</v>
      </c>
      <c r="CN18" s="375" t="str">
        <f>$CF$18</f>
        <v>G03 X0. Y0. Z1.25 I-3.84 J0. F70</v>
      </c>
      <c r="CO18" s="375" t="str">
        <f>CG18</f>
        <v>G03 X0. Y0. Z1.25 I-4.063 J0. F80</v>
      </c>
      <c r="CP18" s="375" t="str">
        <f>$CF$18</f>
        <v>G03 X0. Y0. Z1.25 I-3.84 J0. F70</v>
      </c>
      <c r="CQ18" s="375" t="str">
        <f>CG18</f>
        <v>G03 X0. Y0. Z1.25 I-4.063 J0. F80</v>
      </c>
      <c r="CR18" s="375" t="str">
        <f>$CF$18</f>
        <v>G03 X0. Y0. Z1.25 I-3.84 J0. F70</v>
      </c>
      <c r="CS18" s="375" t="str">
        <f>CG18</f>
        <v>G03 X0. Y0. Z1.25 I-4.063 J0. F80</v>
      </c>
      <c r="CT18" s="375" t="str">
        <f>$CF$18</f>
        <v>G03 X0. Y0. Z1.25 I-3.84 J0. F70</v>
      </c>
      <c r="CU18" s="375" t="str">
        <f>CG18</f>
        <v>G03 X0. Y0. Z1.25 I-4.063 J0. F80</v>
      </c>
      <c r="CV18" s="375" t="str">
        <f>$CF$18</f>
        <v>G03 X0. Y0. Z1.25 I-3.84 J0. F70</v>
      </c>
      <c r="CW18" s="375" t="str">
        <f>CG18</f>
        <v>G03 X0. Y0. Z1.25 I-4.063 J0. F80</v>
      </c>
      <c r="CX18" s="375" t="str">
        <f>$CF$18</f>
        <v>G03 X0. Y0. Z1.25 I-3.84 J0. F70</v>
      </c>
      <c r="CY18" s="375" t="str">
        <f>CG18</f>
        <v>G03 X0. Y0. Z1.25 I-4.063 J0. F80</v>
      </c>
      <c r="CZ18" s="375" t="str">
        <f>$CF$18</f>
        <v>G03 X0. Y0. Z1.25 I-3.84 J0. F70</v>
      </c>
      <c r="DA18" s="375" t="str">
        <f>CG18</f>
        <v>G03 X0. Y0. Z1.25 I-4.063 J0. F80</v>
      </c>
      <c r="DB18" s="375" t="str">
        <f>$CF$18</f>
        <v>G03 X0. Y0. Z1.25 I-3.84 J0. F70</v>
      </c>
      <c r="DC18" s="375" t="str">
        <f>CG18</f>
        <v>G03 X0. Y0. Z1.25 I-4.063 J0. F80</v>
      </c>
      <c r="DD18" s="375" t="str">
        <f>$CF$18</f>
        <v>G03 X0. Y0. Z1.25 I-3.84 J0. F70</v>
      </c>
      <c r="DE18" s="375" t="str">
        <f>CONCATENATE(IM18,IN18,IO18,IP18,IQ18,IR18,IS18,IT18,IU18,IV18,IW18,IX18,IY18,IZ18)</f>
        <v>G02 X0. Y0. Z-1.25 I-4.063 J0. F80</v>
      </c>
      <c r="DF18" s="375" t="str">
        <f>CONCATENATE(IM44,IN44,IO44,IP44,IQ44,IR44,IS44,IT44,IU44,IV44,IW44,IX44,IY44,IZ44)</f>
        <v>G02 X0. Y0. Z-1.25 I-3.84 J0. F70</v>
      </c>
      <c r="DG18" s="375" t="str">
        <f>$DE$18</f>
        <v>G02 X0. Y0. Z-1.25 I-4.063 J0. F80</v>
      </c>
      <c r="DH18" s="375" t="str">
        <f>$DF$18</f>
        <v>G02 X0. Y0. Z-1.25 I-3.84 J0. F70</v>
      </c>
      <c r="DI18" s="375" t="str">
        <f>$DE$18</f>
        <v>G02 X0. Y0. Z-1.25 I-4.063 J0. F80</v>
      </c>
      <c r="DJ18" s="375" t="str">
        <f>$DF$18</f>
        <v>G02 X0. Y0. Z-1.25 I-3.84 J0. F70</v>
      </c>
      <c r="DK18" s="375" t="str">
        <f>$DE$18</f>
        <v>G02 X0. Y0. Z-1.25 I-4.063 J0. F80</v>
      </c>
      <c r="DL18" s="375" t="str">
        <f>$DF$18</f>
        <v>G02 X0. Y0. Z-1.25 I-3.84 J0. F70</v>
      </c>
      <c r="DM18" s="375" t="str">
        <f>$DE$18</f>
        <v>G02 X0. Y0. Z-1.25 I-4.063 J0. F80</v>
      </c>
      <c r="DN18" s="375" t="str">
        <f>$DF$18</f>
        <v>G02 X0. Y0. Z-1.25 I-3.84 J0. F70</v>
      </c>
      <c r="DO18" s="375" t="str">
        <f>$DE$18</f>
        <v>G02 X0. Y0. Z-1.25 I-4.063 J0. F80</v>
      </c>
      <c r="DP18" s="375" t="str">
        <f>$DF$18</f>
        <v>G02 X0. Y0. Z-1.25 I-3.84 J0. F70</v>
      </c>
      <c r="DQ18" s="375" t="str">
        <f>$DE$18</f>
        <v>G02 X0. Y0. Z-1.25 I-4.063 J0. F80</v>
      </c>
      <c r="DR18" s="375" t="str">
        <f>$DF$18</f>
        <v>G02 X0. Y0. Z-1.25 I-3.84 J0. F70</v>
      </c>
      <c r="DS18" s="375" t="str">
        <f>$DE$18</f>
        <v>G02 X0. Y0. Z-1.25 I-4.063 J0. F80</v>
      </c>
      <c r="DT18" s="375" t="str">
        <f>$DF$18</f>
        <v>G02 X0. Y0. Z-1.25 I-3.84 J0. F70</v>
      </c>
      <c r="DU18" s="375" t="str">
        <f>$DE$18</f>
        <v>G02 X0. Y0. Z-1.25 I-4.063 J0. F80</v>
      </c>
      <c r="DV18" s="375" t="str">
        <f>$DF$18</f>
        <v>G02 X0. Y0. Z-1.25 I-3.84 J0. F70</v>
      </c>
      <c r="DW18" s="375" t="str">
        <f>$DE$18</f>
        <v>G02 X0. Y0. Z-1.25 I-4.063 J0. F80</v>
      </c>
      <c r="DX18" s="375" t="str">
        <f>$DF$18</f>
        <v>G02 X0. Y0. Z-1.25 I-3.84 J0. F70</v>
      </c>
      <c r="DY18" s="375" t="str">
        <f>$DE$18</f>
        <v>G02 X0. Y0. Z-1.25 I-4.063 J0. F80</v>
      </c>
      <c r="DZ18" s="375" t="str">
        <f>$DF$18</f>
        <v>G02 X0. Y0. Z-1.25 I-3.84 J0. F70</v>
      </c>
      <c r="EA18" s="375" t="str">
        <f>$DE$18</f>
        <v>G02 X0. Y0. Z-1.25 I-4.063 J0. F80</v>
      </c>
      <c r="EB18" s="375" t="str">
        <f>$DF$18</f>
        <v>G02 X0. Y0. Z-1.25 I-3.84 J0. F70</v>
      </c>
      <c r="EC18" s="375" t="str">
        <f>$DE$18</f>
        <v>G02 X0. Y0. Z-1.25 I-4.063 J0. F80</v>
      </c>
      <c r="ED18" s="375" t="str">
        <f>$DF$18</f>
        <v>G02 X0. Y0. Z-1.25 I-3.84 J0. F70</v>
      </c>
      <c r="EE18" s="375" t="str">
        <f>$DE$18</f>
        <v>G02 X0. Y0. Z-1.25 I-4.063 J0. F80</v>
      </c>
      <c r="EF18" s="375" t="str">
        <f>$DF$18</f>
        <v>G02 X0. Y0. Z-1.25 I-3.84 J0. F70</v>
      </c>
      <c r="EG18" s="23" t="str">
        <f>CONCATENATE(GH18,GI18,GJ18,GK18,GL18,GM18,GN18,GO18,GP18,GQ18,GR18,GS18,GT18)</f>
        <v>G03 X-4.063 Y4.072 Z0.313 I-4.063 J0.01 F80</v>
      </c>
      <c r="EH18" s="23" t="str">
        <f>CONCATENATE(GV18,GW18,GX18,GY18,GZ18,HA18,HB18,HC18,HD18,HE18,HF18,HG18,HH18)</f>
        <v>G03 X-3.84 Y3.85 Z0.313 I-3.84 J0.01 F70</v>
      </c>
      <c r="EI18" s="23" t="str">
        <f>CONCATENATE(HJ18,HK18,HL18,HM18,HN18,HO18,HP18,HQ18)</f>
        <v>G91 G41 D10 X0. Y-3,375 F48</v>
      </c>
      <c r="EJ18" s="23" t="str">
        <f>EI18</f>
        <v>G91 G41 D10 X0. Y-3,375 F48</v>
      </c>
      <c r="EK18" s="23" t="str">
        <f>EI18</f>
        <v>G91 G41 D10 X0. Y-3,375 F48</v>
      </c>
      <c r="EL18" s="23" t="str">
        <f>EK18</f>
        <v>G91 G41 D10 X0. Y-3,375 F48</v>
      </c>
      <c r="EM18" s="23" t="str">
        <f>CONCATENATE(HS18,HT18,HU18,HV18,HW18,HX18,HY18,HZ18,IA18,IB18,IC18,ID18,IE18,IF18)</f>
        <v>G03 X7.063 Y0. Z0.625 R3,531</v>
      </c>
      <c r="EN18" s="26">
        <v>6</v>
      </c>
      <c r="EO18" s="14" t="s">
        <v>675</v>
      </c>
      <c r="EP18" s="14" t="s">
        <v>674</v>
      </c>
      <c r="EQ18" s="14">
        <v>0</v>
      </c>
      <c r="ER18" s="14" t="s">
        <v>676</v>
      </c>
      <c r="ES18" s="14">
        <v>0</v>
      </c>
      <c r="ET18" s="14" t="s">
        <v>677</v>
      </c>
      <c r="EU18" s="14" t="str">
        <f>SUBSTITUTE(EU16,",",".")</f>
        <v>1.25</v>
      </c>
      <c r="EV18" s="14" t="str">
        <f>IF(EU16=EU17,". I"," I")</f>
        <v xml:space="preserve"> I</v>
      </c>
      <c r="EW18" s="14" t="str">
        <f>SUBSTITUTE(EW16,",",".")</f>
        <v>-4.063</v>
      </c>
      <c r="EX18" s="14" t="str">
        <f>IF(EW16=EW17,". J"," J")</f>
        <v xml:space="preserve"> J</v>
      </c>
      <c r="EY18" s="14">
        <v>0</v>
      </c>
      <c r="EZ18" s="16" t="s">
        <v>255</v>
      </c>
      <c r="FA18" s="16" t="s">
        <v>1354</v>
      </c>
      <c r="FB18" s="176">
        <f>C30</f>
        <v>80</v>
      </c>
      <c r="FC18" s="26">
        <v>6</v>
      </c>
      <c r="FD18" s="14" t="s">
        <v>675</v>
      </c>
      <c r="FE18" s="14" t="s">
        <v>674</v>
      </c>
      <c r="FF18" s="14">
        <v>0</v>
      </c>
      <c r="FG18" s="14" t="s">
        <v>676</v>
      </c>
      <c r="FH18" s="14">
        <v>0</v>
      </c>
      <c r="FI18" s="14" t="s">
        <v>677</v>
      </c>
      <c r="FJ18" s="14" t="str">
        <f>SUBSTITUTE(FJ16,",",".")</f>
        <v>1.25</v>
      </c>
      <c r="FK18" s="14" t="str">
        <f>IF(FJ16=FJ17,". I"," I")</f>
        <v xml:space="preserve"> I</v>
      </c>
      <c r="FL18" s="14" t="str">
        <f>SUBSTITUTE(FL16,",",".")</f>
        <v>-3.84</v>
      </c>
      <c r="FM18" s="14" t="str">
        <f>IF(FL16=FL17,". J"," J")</f>
        <v xml:space="preserve"> J</v>
      </c>
      <c r="FN18" s="14">
        <v>0</v>
      </c>
      <c r="FO18" s="16" t="s">
        <v>255</v>
      </c>
      <c r="FP18" s="16" t="s">
        <v>1354</v>
      </c>
      <c r="FQ18" s="16">
        <f>BM51</f>
        <v>70</v>
      </c>
      <c r="FR18" s="26">
        <v>6</v>
      </c>
      <c r="FS18" s="201" t="s">
        <v>787</v>
      </c>
      <c r="FW18" s="26">
        <v>6</v>
      </c>
      <c r="FX18" s="14" t="s">
        <v>780</v>
      </c>
      <c r="FY18" s="14">
        <f>BP48</f>
        <v>14</v>
      </c>
      <c r="GG18" s="26">
        <v>6</v>
      </c>
      <c r="GH18" s="14" t="s">
        <v>675</v>
      </c>
      <c r="GI18" s="14" t="s">
        <v>674</v>
      </c>
      <c r="GJ18" s="14" t="str">
        <f>SUBSTITUTE(GJ16,",",".")</f>
        <v>-4.063</v>
      </c>
      <c r="GK18" s="14" t="str">
        <f>IF(GJ16=GJ17,". Y"," Y")</f>
        <v xml:space="preserve"> Y</v>
      </c>
      <c r="GL18" s="14" t="str">
        <f>SUBSTITUTE(GL16,",",".")</f>
        <v>4.072</v>
      </c>
      <c r="GM18" s="14" t="str">
        <f>IF(GL16=GL17,". Z"," Z")</f>
        <v xml:space="preserve"> Z</v>
      </c>
      <c r="GN18" s="14" t="str">
        <f>SUBSTITUTE(GN16,",",".")</f>
        <v>0.313</v>
      </c>
      <c r="GO18" s="14" t="str">
        <f>IF(GN16=GN17,". I"," I")</f>
        <v xml:space="preserve"> I</v>
      </c>
      <c r="GP18" s="14" t="str">
        <f>SUBSTITUTE(GP16,",",".")</f>
        <v>-4.063</v>
      </c>
      <c r="GQ18" s="14" t="str">
        <f>IF(GP16=GP17,". J"," J")</f>
        <v xml:space="preserve"> J</v>
      </c>
      <c r="GR18" s="14" t="str">
        <f>SUBSTITUTE(GR16,",",".")</f>
        <v>0.01</v>
      </c>
      <c r="GS18" s="14" t="s">
        <v>1354</v>
      </c>
      <c r="GT18" s="97">
        <f>C30</f>
        <v>80</v>
      </c>
      <c r="GU18" s="26">
        <v>6</v>
      </c>
      <c r="GV18" s="14" t="s">
        <v>675</v>
      </c>
      <c r="GW18" s="14" t="s">
        <v>674</v>
      </c>
      <c r="GX18" s="14" t="str">
        <f>SUBSTITUTE(GX16,",",".")</f>
        <v>-3.84</v>
      </c>
      <c r="GY18" s="14" t="str">
        <f>IF(GX16=GX17,". Y"," Y")</f>
        <v xml:space="preserve"> Y</v>
      </c>
      <c r="GZ18" s="14" t="str">
        <f>SUBSTITUTE(GZ16,",",".")</f>
        <v>3.85</v>
      </c>
      <c r="HA18" s="14" t="str">
        <f>IF(GZ16=GZ17,". Z"," Z")</f>
        <v xml:space="preserve"> Z</v>
      </c>
      <c r="HB18" s="14" t="str">
        <f>SUBSTITUTE(HB16,",",".")</f>
        <v>0.313</v>
      </c>
      <c r="HC18" s="14" t="str">
        <f>IF(HB16=HB17,". I"," I")</f>
        <v xml:space="preserve"> I</v>
      </c>
      <c r="HD18" s="14" t="str">
        <f>SUBSTITUTE(HD16,",",".")</f>
        <v>-3.84</v>
      </c>
      <c r="HE18" s="14" t="str">
        <f>IF(HD16=HD17,". J"," J")</f>
        <v xml:space="preserve"> J</v>
      </c>
      <c r="HF18" s="14" t="str">
        <f>SUBSTITUTE(HF16,",",".")</f>
        <v>0.01</v>
      </c>
      <c r="HG18" s="14" t="s">
        <v>1354</v>
      </c>
      <c r="HH18" s="14">
        <f>BM51</f>
        <v>70</v>
      </c>
      <c r="HI18" s="26">
        <v>6</v>
      </c>
      <c r="HJ18" s="14" t="s">
        <v>180</v>
      </c>
      <c r="HK18" s="14" t="s">
        <v>447</v>
      </c>
      <c r="HL18" s="14" t="s">
        <v>644</v>
      </c>
      <c r="HM18" s="14" t="s">
        <v>1350</v>
      </c>
      <c r="HN18" s="14" t="s">
        <v>1352</v>
      </c>
      <c r="HO18" s="10">
        <f>BP55</f>
        <v>-3.375</v>
      </c>
      <c r="HP18" s="10" t="s">
        <v>1354</v>
      </c>
      <c r="HQ18" s="14">
        <f>ROUND(C30*0.6,0)</f>
        <v>48</v>
      </c>
      <c r="HR18" s="26">
        <v>6</v>
      </c>
      <c r="HS18" s="14" t="s">
        <v>675</v>
      </c>
      <c r="HT18" s="14" t="s">
        <v>674</v>
      </c>
      <c r="HU18" s="14" t="str">
        <f>SUBSTITUTE(HU16,",",".")</f>
        <v>7.063</v>
      </c>
      <c r="HV18" s="14" t="str">
        <f>IF(HU16=HU17,". Y"," Y")</f>
        <v xml:space="preserve"> Y</v>
      </c>
      <c r="HW18" s="14">
        <v>0</v>
      </c>
      <c r="HX18" s="14" t="str">
        <f>IF(HW16=HW17,". Z"," Z")</f>
        <v>. Z</v>
      </c>
      <c r="HY18" s="14" t="str">
        <f>SUBSTITUTE(HY16,",",".")</f>
        <v>0.625</v>
      </c>
      <c r="HZ18" s="418" t="str">
        <f>IF(BT5&gt;1,IF(BT5&gt;2," U"," CR=")," R")</f>
        <v xml:space="preserve"> R</v>
      </c>
      <c r="IA18" s="14">
        <f>BP62</f>
        <v>3.5310000000000001</v>
      </c>
      <c r="IC18" s="97"/>
      <c r="IG18" s="26"/>
      <c r="IH18" s="14"/>
      <c r="II18" s="14"/>
      <c r="IJ18" s="14"/>
      <c r="IK18" s="14"/>
      <c r="IL18" s="26">
        <v>6</v>
      </c>
      <c r="IM18" s="14" t="s">
        <v>1749</v>
      </c>
      <c r="IN18" s="14" t="s">
        <v>674</v>
      </c>
      <c r="IO18" s="14">
        <v>0</v>
      </c>
      <c r="IP18" s="14" t="s">
        <v>676</v>
      </c>
      <c r="IQ18" s="14">
        <v>0</v>
      </c>
      <c r="IR18" s="14" t="s">
        <v>677</v>
      </c>
      <c r="IS18" s="14" t="str">
        <f>SUBSTITUTE(IS16,",",".")</f>
        <v>-1.25</v>
      </c>
      <c r="IT18" s="14" t="str">
        <f>IF(IS16=IS17,". I"," I")</f>
        <v xml:space="preserve"> I</v>
      </c>
      <c r="IU18" s="14" t="str">
        <f>SUBSTITUTE(IU16,",",".")</f>
        <v>-4.063</v>
      </c>
      <c r="IV18" s="14" t="str">
        <f>IF(IU16=IU17,". J"," J")</f>
        <v xml:space="preserve"> J</v>
      </c>
      <c r="IW18" s="14">
        <v>0</v>
      </c>
      <c r="IX18" s="16" t="s">
        <v>255</v>
      </c>
      <c r="IY18" s="16" t="s">
        <v>841</v>
      </c>
      <c r="IZ18" s="176">
        <f>C30</f>
        <v>80</v>
      </c>
    </row>
    <row r="19" spans="1:260" ht="15.95" customHeight="1">
      <c r="A19" s="390"/>
      <c r="B19" s="393" t="str">
        <f>I74</f>
        <v>Number of passes, axial</v>
      </c>
      <c r="C19" s="402">
        <f>IF(BP42=5,BP48,BP9)</f>
        <v>1</v>
      </c>
      <c r="D19" s="395"/>
      <c r="E19" s="390"/>
      <c r="F19" s="391"/>
      <c r="G19" s="384" t="str">
        <f>IF(BW51=0,"",BW51)</f>
        <v/>
      </c>
      <c r="H19" s="16">
        <v>3</v>
      </c>
      <c r="I19" s="5" t="str">
        <f t="shared" si="14"/>
        <v>NPT - Tapered Pipe Thread</v>
      </c>
      <c r="J19" s="5" t="s">
        <v>738</v>
      </c>
      <c r="K19" s="5" t="s">
        <v>734</v>
      </c>
      <c r="L19" s="5" t="s">
        <v>826</v>
      </c>
      <c r="M19" s="5" t="s">
        <v>145</v>
      </c>
      <c r="N19" s="5" t="s">
        <v>736</v>
      </c>
      <c r="O19" s="5" t="s">
        <v>1338</v>
      </c>
      <c r="P19" s="5" t="s">
        <v>1329</v>
      </c>
      <c r="Q19" s="5" t="s">
        <v>1120</v>
      </c>
      <c r="R19" s="5" t="s">
        <v>504</v>
      </c>
      <c r="S19" s="5" t="s">
        <v>80</v>
      </c>
      <c r="T19" s="5" t="s">
        <v>1446</v>
      </c>
      <c r="U19" s="5" t="s">
        <v>1289</v>
      </c>
      <c r="V19" s="5" t="s">
        <v>72</v>
      </c>
      <c r="W19" s="5" t="s">
        <v>681</v>
      </c>
      <c r="X19" s="38" t="s">
        <v>386</v>
      </c>
      <c r="Y19" s="136" t="s">
        <v>1784</v>
      </c>
      <c r="Z19" s="136" t="s">
        <v>1785</v>
      </c>
      <c r="AA19" s="46" t="s">
        <v>1786</v>
      </c>
      <c r="AB19" s="5" t="s">
        <v>1048</v>
      </c>
      <c r="AD19" s="131">
        <v>18</v>
      </c>
      <c r="AE19" s="365">
        <v>1</v>
      </c>
      <c r="AF19" s="365">
        <v>4</v>
      </c>
      <c r="AG19" s="365">
        <v>2</v>
      </c>
      <c r="AH19" s="366" t="s">
        <v>1738</v>
      </c>
      <c r="AI19" s="352">
        <v>6</v>
      </c>
      <c r="AJ19" s="353">
        <v>2.5499999999999998</v>
      </c>
      <c r="AK19" s="354">
        <v>4</v>
      </c>
      <c r="AL19" s="355">
        <v>32</v>
      </c>
      <c r="AM19" s="356">
        <v>7.4</v>
      </c>
      <c r="AN19" s="357">
        <v>57</v>
      </c>
      <c r="AO19" s="349">
        <v>3.3050000000000002</v>
      </c>
      <c r="AP19" s="55">
        <f t="shared" si="0"/>
        <v>18</v>
      </c>
      <c r="AQ19" s="16">
        <f t="shared" si="1"/>
        <v>18</v>
      </c>
      <c r="AR19" s="16" t="b">
        <f t="shared" si="2"/>
        <v>0</v>
      </c>
      <c r="AS19" s="16" t="b">
        <f t="shared" si="3"/>
        <v>0</v>
      </c>
      <c r="AT19" s="16" t="b">
        <f t="shared" si="4"/>
        <v>0</v>
      </c>
      <c r="AU19" s="16" t="b">
        <f t="shared" si="5"/>
        <v>0</v>
      </c>
      <c r="AV19" t="e">
        <f t="shared" si="10"/>
        <v>#N/A</v>
      </c>
      <c r="AW19" t="e">
        <f t="shared" si="6"/>
        <v>#N/A</v>
      </c>
      <c r="AX19" t="e">
        <f t="shared" si="7"/>
        <v>#N/A</v>
      </c>
      <c r="AY19" t="b">
        <f t="shared" si="8"/>
        <v>1</v>
      </c>
      <c r="AZ19" t="str">
        <f t="shared" si="9"/>
        <v/>
      </c>
      <c r="BA19" s="61">
        <v>17</v>
      </c>
      <c r="BB19" s="157">
        <v>40</v>
      </c>
      <c r="BC19" s="158">
        <v>1.4999999999999999E-2</v>
      </c>
      <c r="BD19" s="158">
        <v>1.7999999999999999E-2</v>
      </c>
      <c r="BE19" s="79"/>
      <c r="BF19" s="66"/>
      <c r="BH19" s="11"/>
      <c r="BI19" s="10"/>
      <c r="BK19" s="79"/>
      <c r="BL19" s="9">
        <f>ROUND(BL17,0)</f>
        <v>8</v>
      </c>
      <c r="BM19" s="65"/>
      <c r="BO19" s="16">
        <v>10</v>
      </c>
      <c r="BP19" s="20">
        <f>BP18+BP7</f>
        <v>157.501</v>
      </c>
      <c r="BS19" s="14">
        <v>10131</v>
      </c>
      <c r="BT19" s="14">
        <f t="shared" si="13"/>
        <v>0</v>
      </c>
      <c r="BV19" s="8"/>
      <c r="CG19" s="375"/>
      <c r="CH19" s="375"/>
      <c r="CI19" s="375"/>
      <c r="CJ19" s="375"/>
      <c r="CK19" s="375"/>
      <c r="CL19" s="375"/>
      <c r="CM19" s="375"/>
      <c r="CN19" s="375"/>
      <c r="CO19" s="375"/>
      <c r="CP19" s="375"/>
      <c r="CQ19" s="375"/>
      <c r="CR19" s="375"/>
      <c r="CS19" s="375"/>
      <c r="CT19" s="375"/>
      <c r="CU19" s="375"/>
      <c r="CV19" s="375"/>
      <c r="CW19" s="375"/>
      <c r="CX19" s="375"/>
      <c r="CY19" s="375"/>
      <c r="CZ19" s="375"/>
      <c r="DA19" s="375"/>
      <c r="DB19" s="375"/>
      <c r="DC19" s="375"/>
      <c r="DD19" s="375"/>
      <c r="DI19" s="375"/>
      <c r="DK19" s="375"/>
      <c r="DM19" s="375"/>
      <c r="DO19" s="375"/>
      <c r="DQ19" s="375"/>
      <c r="DS19" s="375"/>
      <c r="DU19" s="375"/>
      <c r="DW19" s="375"/>
      <c r="DY19" s="375"/>
      <c r="EA19" s="375"/>
      <c r="EC19" s="375"/>
      <c r="EE19" s="375"/>
      <c r="EN19" s="26"/>
      <c r="EO19" s="14"/>
      <c r="EP19" s="14"/>
      <c r="EQ19" s="103">
        <f>-ROUND(BP49/2,3)</f>
        <v>-4.0629999999999997</v>
      </c>
      <c r="ER19" s="103"/>
      <c r="ES19" s="101">
        <f>-BP55</f>
        <v>3.375</v>
      </c>
      <c r="ET19" s="103"/>
      <c r="EU19" s="103">
        <f>ROUND(BP54,3)</f>
        <v>0.313</v>
      </c>
      <c r="EV19" s="103"/>
      <c r="EW19" s="103"/>
      <c r="EX19" s="14"/>
      <c r="EY19" s="14"/>
      <c r="FC19" s="26"/>
      <c r="FD19" s="14"/>
      <c r="FE19" s="14"/>
      <c r="FF19" s="103">
        <f>-ROUND(BJ51/2,3)</f>
        <v>-3.84</v>
      </c>
      <c r="FG19" s="103"/>
      <c r="FH19" s="101">
        <f>-BP55</f>
        <v>3.375</v>
      </c>
      <c r="FI19" s="103"/>
      <c r="FJ19" s="103">
        <f>ROUND(BP54,3)</f>
        <v>0.313</v>
      </c>
      <c r="FK19" s="103"/>
      <c r="FL19" s="103"/>
      <c r="FM19" s="14"/>
      <c r="FN19" s="14"/>
      <c r="FO19" s="16"/>
      <c r="FP19" s="16"/>
      <c r="FQ19" s="16"/>
      <c r="FR19" s="26"/>
      <c r="GH19" s="423"/>
      <c r="GI19" s="423"/>
      <c r="GJ19" s="423">
        <f>-(GL16+GR16)</f>
        <v>-4.0819999999999999</v>
      </c>
      <c r="GK19" s="423"/>
      <c r="GL19" s="423">
        <f>-GL16</f>
        <v>-4.0720000000000001</v>
      </c>
      <c r="GM19" s="423"/>
      <c r="GN19" s="423">
        <f>GN16</f>
        <v>0.313</v>
      </c>
      <c r="GO19" s="423"/>
      <c r="GP19" s="423">
        <f>-GR16</f>
        <v>-0.01</v>
      </c>
      <c r="GQ19" s="423"/>
      <c r="GR19" s="423">
        <f>GL19</f>
        <v>-4.0720000000000001</v>
      </c>
      <c r="GX19" s="14">
        <f>-(GZ16+HF16)</f>
        <v>-3.86</v>
      </c>
      <c r="GZ19" s="14">
        <f>-GZ16</f>
        <v>-3.85</v>
      </c>
      <c r="HB19" s="14">
        <f>HB16</f>
        <v>0.313</v>
      </c>
      <c r="HD19" s="14">
        <f>-HF16</f>
        <v>-0.01</v>
      </c>
      <c r="HF19" s="14">
        <f>GZ19</f>
        <v>-3.85</v>
      </c>
      <c r="HI19" s="26"/>
      <c r="HJ19" s="14"/>
      <c r="HK19" s="14"/>
      <c r="HL19" s="103"/>
      <c r="HM19" s="103"/>
      <c r="HN19" s="101"/>
      <c r="HO19" s="103"/>
      <c r="HP19" s="103"/>
      <c r="HQ19" s="103"/>
      <c r="HR19" s="26"/>
      <c r="HS19" s="14"/>
      <c r="HT19" s="14"/>
      <c r="HU19" s="103"/>
      <c r="HV19" s="103"/>
      <c r="HW19" s="101"/>
      <c r="HX19" s="103"/>
      <c r="HY19" s="101">
        <f>BL6</f>
        <v>1.25</v>
      </c>
      <c r="HZ19" s="14"/>
      <c r="IA19" s="188">
        <f>-ROUND(BP49/2,3)</f>
        <v>-4.0629999999999997</v>
      </c>
      <c r="IG19" s="26"/>
      <c r="IH19" s="14"/>
      <c r="II19" s="14"/>
      <c r="IJ19" s="103"/>
      <c r="IK19" s="103"/>
      <c r="IL19" s="26"/>
      <c r="IM19" s="14"/>
      <c r="IN19" s="14"/>
      <c r="IO19" s="103">
        <f>-ROUND(BP49/2,3)</f>
        <v>-4.0629999999999997</v>
      </c>
      <c r="IP19" s="103"/>
      <c r="IQ19" s="101">
        <f>BP55</f>
        <v>-3.375</v>
      </c>
      <c r="IR19" s="103"/>
      <c r="IS19" s="103">
        <f>ROUND(-BP54,3)</f>
        <v>-0.313</v>
      </c>
      <c r="IT19" s="103"/>
      <c r="IU19" s="103"/>
      <c r="IV19" s="14"/>
      <c r="IW19" s="14"/>
      <c r="IX19" s="16"/>
      <c r="IY19" s="16"/>
      <c r="IZ19" s="16"/>
    </row>
    <row r="20" spans="1:260" ht="15.95" customHeight="1">
      <c r="A20" s="390"/>
      <c r="B20" s="400" t="str">
        <f>I73</f>
        <v>Number of passes, radial (max 2)</v>
      </c>
      <c r="C20" s="403">
        <f>BI29</f>
        <v>1</v>
      </c>
      <c r="D20" s="150"/>
      <c r="E20" s="390"/>
      <c r="F20" s="391"/>
      <c r="G20" s="384" t="str">
        <f>IF(BW54=0,"",BW54)</f>
        <v/>
      </c>
      <c r="H20" s="16">
        <v>4</v>
      </c>
      <c r="I20" s="5" t="str">
        <f t="shared" si="14"/>
        <v>G - Whitworth Pipe Thread</v>
      </c>
      <c r="J20" s="5" t="s">
        <v>393</v>
      </c>
      <c r="K20" s="5" t="s">
        <v>391</v>
      </c>
      <c r="L20" s="5" t="s">
        <v>830</v>
      </c>
      <c r="M20" s="5" t="s">
        <v>390</v>
      </c>
      <c r="N20" s="5" t="s">
        <v>394</v>
      </c>
      <c r="O20" s="5" t="s">
        <v>1336</v>
      </c>
      <c r="P20" s="5" t="s">
        <v>657</v>
      </c>
      <c r="Q20" s="5" t="s">
        <v>395</v>
      </c>
      <c r="R20" s="5" t="s">
        <v>502</v>
      </c>
      <c r="S20" s="5" t="s">
        <v>78</v>
      </c>
      <c r="T20" s="5" t="s">
        <v>396</v>
      </c>
      <c r="U20" s="5" t="s">
        <v>397</v>
      </c>
      <c r="V20" s="5" t="s">
        <v>68</v>
      </c>
      <c r="W20" s="5" t="s">
        <v>499</v>
      </c>
      <c r="X20" s="38" t="s">
        <v>384</v>
      </c>
      <c r="Y20" s="136" t="s">
        <v>1787</v>
      </c>
      <c r="Z20" s="136" t="s">
        <v>1788</v>
      </c>
      <c r="AA20" s="46" t="s">
        <v>1789</v>
      </c>
      <c r="AB20" s="5" t="s">
        <v>392</v>
      </c>
      <c r="AD20" s="131">
        <v>19</v>
      </c>
      <c r="AE20" s="365">
        <v>1</v>
      </c>
      <c r="AF20" s="365">
        <v>4</v>
      </c>
      <c r="AG20" s="365">
        <v>2</v>
      </c>
      <c r="AH20" s="366" t="s">
        <v>1739</v>
      </c>
      <c r="AI20" s="352">
        <v>6</v>
      </c>
      <c r="AJ20" s="353">
        <v>2.08</v>
      </c>
      <c r="AK20" s="354">
        <v>4</v>
      </c>
      <c r="AL20" s="355">
        <v>40</v>
      </c>
      <c r="AM20" s="356">
        <v>6</v>
      </c>
      <c r="AN20" s="357">
        <v>57</v>
      </c>
      <c r="AO20" s="349">
        <v>2.7450000000000001</v>
      </c>
      <c r="AP20" s="55">
        <f t="shared" si="0"/>
        <v>19</v>
      </c>
      <c r="AQ20" s="16">
        <f t="shared" si="1"/>
        <v>19</v>
      </c>
      <c r="AR20" s="16" t="b">
        <f t="shared" si="2"/>
        <v>0</v>
      </c>
      <c r="AS20" s="16" t="b">
        <f t="shared" si="3"/>
        <v>0</v>
      </c>
      <c r="AT20" s="16" t="b">
        <f t="shared" si="4"/>
        <v>0</v>
      </c>
      <c r="AU20" s="16" t="b">
        <f t="shared" si="5"/>
        <v>0</v>
      </c>
      <c r="AV20" t="e">
        <f t="shared" si="10"/>
        <v>#N/A</v>
      </c>
      <c r="AW20" t="e">
        <f t="shared" si="6"/>
        <v>#N/A</v>
      </c>
      <c r="AX20" t="e">
        <f t="shared" si="7"/>
        <v>#N/A</v>
      </c>
      <c r="AY20" t="b">
        <f t="shared" si="8"/>
        <v>1</v>
      </c>
      <c r="AZ20" t="str">
        <f t="shared" si="9"/>
        <v/>
      </c>
      <c r="BA20" s="61">
        <v>18</v>
      </c>
      <c r="BB20" s="157">
        <v>30</v>
      </c>
      <c r="BC20" s="158">
        <v>8.0000000000000002E-3</v>
      </c>
      <c r="BD20" s="158">
        <v>0.01</v>
      </c>
      <c r="BE20" s="79"/>
      <c r="BF20" s="66"/>
      <c r="BH20" s="11"/>
      <c r="BI20" s="10"/>
      <c r="BK20" s="79"/>
      <c r="BL20" s="14"/>
      <c r="BM20" s="65"/>
      <c r="BP20" s="20"/>
      <c r="BS20" s="14">
        <v>10132</v>
      </c>
      <c r="BT20" s="14">
        <f t="shared" si="13"/>
        <v>0</v>
      </c>
      <c r="BV20" s="8"/>
      <c r="CG20" s="375"/>
      <c r="CH20" s="375"/>
      <c r="CI20" s="375"/>
      <c r="CJ20" s="375"/>
      <c r="CK20" s="375"/>
      <c r="CL20" s="375"/>
      <c r="CM20" s="375"/>
      <c r="CN20" s="375"/>
      <c r="CO20" s="375"/>
      <c r="CP20" s="375"/>
      <c r="CQ20" s="375"/>
      <c r="CR20" s="375"/>
      <c r="CS20" s="375"/>
      <c r="CT20" s="375"/>
      <c r="CU20" s="375"/>
      <c r="CV20" s="375"/>
      <c r="CW20" s="375"/>
      <c r="CX20" s="375"/>
      <c r="CY20" s="375"/>
      <c r="CZ20" s="375"/>
      <c r="DA20" s="375"/>
      <c r="DB20" s="375"/>
      <c r="DC20" s="375"/>
      <c r="DD20" s="375"/>
      <c r="DI20" s="375"/>
      <c r="DK20" s="375"/>
      <c r="DM20" s="375"/>
      <c r="DO20" s="375"/>
      <c r="DQ20" s="375"/>
      <c r="DS20" s="375"/>
      <c r="DU20" s="375"/>
      <c r="DW20" s="375"/>
      <c r="DY20" s="375"/>
      <c r="EA20" s="375"/>
      <c r="EC20" s="375"/>
      <c r="EE20" s="375"/>
      <c r="EQ20" s="102">
        <f>INT(EQ19)</f>
        <v>-5</v>
      </c>
      <c r="ER20" s="104"/>
      <c r="ES20" s="102">
        <f>INT(ES19)</f>
        <v>3</v>
      </c>
      <c r="ET20" s="104"/>
      <c r="EU20" s="102">
        <f>INT(EU19)</f>
        <v>0</v>
      </c>
      <c r="EV20" s="104"/>
      <c r="EW20" s="102"/>
      <c r="FC20" s="24"/>
      <c r="FD20"/>
      <c r="FE20"/>
      <c r="FF20" s="102">
        <f>INT(FF19)</f>
        <v>-4</v>
      </c>
      <c r="FG20" s="104"/>
      <c r="FH20" s="102">
        <f>INT(FH19)</f>
        <v>3</v>
      </c>
      <c r="FI20" s="104"/>
      <c r="FJ20" s="102">
        <f>INT(FJ19)</f>
        <v>0</v>
      </c>
      <c r="FK20" s="104"/>
      <c r="FL20" s="102"/>
      <c r="FM20"/>
      <c r="FN20"/>
      <c r="FO20" s="16"/>
      <c r="FP20" s="16"/>
      <c r="FQ20" s="16"/>
      <c r="GH20" s="423"/>
      <c r="GI20" s="423"/>
      <c r="GJ20" s="424">
        <f>INT(GJ19)</f>
        <v>-5</v>
      </c>
      <c r="GK20" s="423"/>
      <c r="GL20" s="424">
        <f>INT(GL19)</f>
        <v>-5</v>
      </c>
      <c r="GM20" s="423"/>
      <c r="GN20" s="424">
        <f>INT(GN19)</f>
        <v>0</v>
      </c>
      <c r="GO20" s="423"/>
      <c r="GP20" s="424">
        <f>INT(GP19)</f>
        <v>-1</v>
      </c>
      <c r="GQ20" s="423"/>
      <c r="GR20" s="424">
        <f>INT(GR19)</f>
        <v>-5</v>
      </c>
      <c r="GX20" s="16">
        <f>INT(GX19)</f>
        <v>-4</v>
      </c>
      <c r="GZ20" s="16">
        <f>INT(GZ19)</f>
        <v>-4</v>
      </c>
      <c r="HB20" s="16">
        <f>INT(HB19)</f>
        <v>0</v>
      </c>
      <c r="HD20" s="16">
        <f>INT(HD19)</f>
        <v>-1</v>
      </c>
      <c r="HF20" s="16">
        <f>INT(HF19)</f>
        <v>-4</v>
      </c>
      <c r="HL20" s="102"/>
      <c r="HM20" s="104"/>
      <c r="HN20" s="102"/>
      <c r="HO20" s="104"/>
      <c r="HP20" s="102"/>
      <c r="HQ20" s="102"/>
      <c r="HU20" s="102"/>
      <c r="HV20" s="104"/>
      <c r="HW20" s="102"/>
      <c r="HX20" s="104"/>
      <c r="HY20" s="102">
        <f>INT(HY19)</f>
        <v>1</v>
      </c>
      <c r="IA20" s="102">
        <f>INT(IA19)</f>
        <v>-5</v>
      </c>
      <c r="IG20" s="24"/>
      <c r="IH20"/>
      <c r="II20"/>
      <c r="IJ20" s="102"/>
      <c r="IK20" s="104"/>
      <c r="IL20" s="24"/>
      <c r="IM20"/>
      <c r="IN20"/>
      <c r="IO20" s="102">
        <f>INT(IO19)</f>
        <v>-5</v>
      </c>
      <c r="IP20" s="104"/>
      <c r="IQ20" s="102">
        <f>INT(IQ19)</f>
        <v>-4</v>
      </c>
      <c r="IR20" s="104"/>
      <c r="IS20" s="102">
        <f>INT(IS19)</f>
        <v>-1</v>
      </c>
      <c r="IT20" s="104"/>
      <c r="IU20" s="102"/>
      <c r="IV20"/>
      <c r="IW20"/>
      <c r="IX20" s="16"/>
      <c r="IY20" s="16"/>
      <c r="IZ20" s="16"/>
    </row>
    <row r="21" spans="1:260" ht="15.95" customHeight="1">
      <c r="A21" s="390"/>
      <c r="B21" s="404"/>
      <c r="C21" s="405"/>
      <c r="D21" s="395"/>
      <c r="E21" s="390"/>
      <c r="F21" s="391"/>
      <c r="G21" s="384" t="str">
        <f>IF(BW57=0,"",BW57)</f>
        <v/>
      </c>
      <c r="H21" s="16">
        <v>5</v>
      </c>
      <c r="I21" s="5" t="str">
        <f t="shared" si="14"/>
        <v>BSPT - Tapered Pipe Thread</v>
      </c>
      <c r="J21" s="5" t="s">
        <v>737</v>
      </c>
      <c r="K21" s="5" t="s">
        <v>733</v>
      </c>
      <c r="L21" s="5" t="s">
        <v>834</v>
      </c>
      <c r="M21" s="5" t="s">
        <v>144</v>
      </c>
      <c r="N21" s="5" t="s">
        <v>735</v>
      </c>
      <c r="O21" s="5" t="s">
        <v>1337</v>
      </c>
      <c r="P21" s="5" t="s">
        <v>653</v>
      </c>
      <c r="Q21" s="5" t="s">
        <v>1119</v>
      </c>
      <c r="R21" s="5" t="s">
        <v>503</v>
      </c>
      <c r="S21" s="5" t="s">
        <v>79</v>
      </c>
      <c r="T21" s="5" t="s">
        <v>1445</v>
      </c>
      <c r="U21" s="5" t="s">
        <v>1288</v>
      </c>
      <c r="V21" s="5" t="s">
        <v>71</v>
      </c>
      <c r="W21" s="5" t="s">
        <v>680</v>
      </c>
      <c r="X21" s="38" t="s">
        <v>385</v>
      </c>
      <c r="Y21" s="136" t="s">
        <v>1790</v>
      </c>
      <c r="Z21" s="136" t="s">
        <v>1791</v>
      </c>
      <c r="AA21" s="46" t="s">
        <v>1792</v>
      </c>
      <c r="AB21" s="5" t="s">
        <v>1095</v>
      </c>
      <c r="AD21" s="131">
        <v>20</v>
      </c>
      <c r="AE21" s="365">
        <v>1</v>
      </c>
      <c r="AF21" s="365">
        <v>4</v>
      </c>
      <c r="AG21" s="365">
        <v>2</v>
      </c>
      <c r="AH21" s="366" t="s">
        <v>1740</v>
      </c>
      <c r="AI21" s="352">
        <v>6</v>
      </c>
      <c r="AJ21" s="353">
        <v>1.64</v>
      </c>
      <c r="AK21" s="354">
        <v>4</v>
      </c>
      <c r="AL21" s="355">
        <v>56</v>
      </c>
      <c r="AM21" s="356">
        <v>4.5999999999999996</v>
      </c>
      <c r="AN21" s="357">
        <v>57</v>
      </c>
      <c r="AO21" s="349">
        <v>2.0840000000000001</v>
      </c>
      <c r="AP21" s="55">
        <f t="shared" si="0"/>
        <v>20</v>
      </c>
      <c r="AQ21" s="16">
        <f t="shared" si="1"/>
        <v>20</v>
      </c>
      <c r="AR21" s="16" t="b">
        <f t="shared" si="2"/>
        <v>0</v>
      </c>
      <c r="AS21" s="16" t="b">
        <f t="shared" si="3"/>
        <v>0</v>
      </c>
      <c r="AT21" s="16" t="b">
        <f t="shared" si="4"/>
        <v>0</v>
      </c>
      <c r="AU21" s="16" t="b">
        <f t="shared" si="5"/>
        <v>0</v>
      </c>
      <c r="AV21" t="e">
        <f t="shared" si="10"/>
        <v>#N/A</v>
      </c>
      <c r="AW21" t="e">
        <f t="shared" si="6"/>
        <v>#N/A</v>
      </c>
      <c r="AX21" t="e">
        <f t="shared" si="7"/>
        <v>#N/A</v>
      </c>
      <c r="AY21" t="b">
        <f t="shared" si="8"/>
        <v>1</v>
      </c>
      <c r="AZ21" t="str">
        <f t="shared" si="9"/>
        <v/>
      </c>
      <c r="BA21" s="61">
        <v>19</v>
      </c>
      <c r="BB21" s="157">
        <v>90</v>
      </c>
      <c r="BC21" s="158">
        <v>1.4999999999999999E-2</v>
      </c>
      <c r="BD21" s="158">
        <v>0.02</v>
      </c>
      <c r="BE21" s="79"/>
      <c r="BF21" s="66"/>
      <c r="BH21" s="11"/>
      <c r="BI21" s="10"/>
      <c r="BK21" s="74" t="s">
        <v>838</v>
      </c>
      <c r="BL21" s="64">
        <f>IF(BL17&gt;=10,BL19,BL18)</f>
        <v>8.4</v>
      </c>
      <c r="BM21" s="65"/>
      <c r="BS21" s="14">
        <v>1000012</v>
      </c>
      <c r="BT21" s="14">
        <f t="shared" si="13"/>
        <v>0</v>
      </c>
      <c r="BV21" s="8">
        <v>7</v>
      </c>
      <c r="BW21" s="54" t="str">
        <f>LOOKUP(BT$54,BX$2:EM$2,BX21:EM21)</f>
        <v>G03 X-4.063 Y3.375 Z0.313 R3,433</v>
      </c>
      <c r="BY21" s="23" t="str">
        <f t="shared" si="11"/>
        <v>G03 X-4.063 Y3.375 Z0.313 R3,433</v>
      </c>
      <c r="BZ21" s="23" t="str">
        <f>CONCATENATE(FD21,FE21,FF21,FG21,FH21,FI21,FJ21,FK21,FL21)</f>
        <v>G03 X-3.84 Y3.375 Z0.313 R3,403</v>
      </c>
      <c r="CA21" s="23" t="str">
        <f>BY12</f>
        <v>G41 D10 X0. Y-3,375 F40</v>
      </c>
      <c r="CB21" s="23" t="str">
        <f>BZ12</f>
        <v>G41 D10 X0. Y-3,375 F35</v>
      </c>
      <c r="CC21" s="4" t="str">
        <f>CA15</f>
        <v>#2=0</v>
      </c>
      <c r="CD21" s="23" t="str">
        <f>CC21</f>
        <v>#2=0</v>
      </c>
      <c r="CE21" s="23" t="str">
        <f>BY21</f>
        <v>G03 X-4.063 Y3.375 Z0.313 R3,433</v>
      </c>
      <c r="CF21" s="23" t="str">
        <f>BZ21</f>
        <v>G03 X-3.84 Y3.375 Z0.313 R3,403</v>
      </c>
      <c r="CG21" s="375" t="str">
        <f>CONCATENATE(EO18,EP18,EQ18,ER18,ES18,ET18,EU18,EV18,EW18,EX18,EY18,EZ18)</f>
        <v>G03 X0. Y0. Z1.25 I-4.063 J0.</v>
      </c>
      <c r="CH21" s="375" t="str">
        <f>CONCATENATE(FD18,FE18,FF18,FG18,FH18,FI18,FJ18,FK18,FL18,FM18,FN18,FO18)</f>
        <v>G03 X0. Y0. Z1.25 I-3.84 J0.</v>
      </c>
      <c r="CI21" s="375" t="str">
        <f>CG21</f>
        <v>G03 X0. Y0. Z1.25 I-4.063 J0.</v>
      </c>
      <c r="CJ21" s="375" t="str">
        <f>$CH$21</f>
        <v>G03 X0. Y0. Z1.25 I-3.84 J0.</v>
      </c>
      <c r="CK21" s="375" t="str">
        <f>CG21</f>
        <v>G03 X0. Y0. Z1.25 I-4.063 J0.</v>
      </c>
      <c r="CL21" s="375" t="str">
        <f>$CH$21</f>
        <v>G03 X0. Y0. Z1.25 I-3.84 J0.</v>
      </c>
      <c r="CM21" s="375" t="str">
        <f>CG21</f>
        <v>G03 X0. Y0. Z1.25 I-4.063 J0.</v>
      </c>
      <c r="CN21" s="375" t="str">
        <f>$CH$21</f>
        <v>G03 X0. Y0. Z1.25 I-3.84 J0.</v>
      </c>
      <c r="CO21" s="375" t="str">
        <f>CG21</f>
        <v>G03 X0. Y0. Z1.25 I-4.063 J0.</v>
      </c>
      <c r="CP21" s="375" t="str">
        <f>$CH$21</f>
        <v>G03 X0. Y0. Z1.25 I-3.84 J0.</v>
      </c>
      <c r="CQ21" s="375" t="str">
        <f>CG21</f>
        <v>G03 X0. Y0. Z1.25 I-4.063 J0.</v>
      </c>
      <c r="CR21" s="375" t="str">
        <f>$CH$21</f>
        <v>G03 X0. Y0. Z1.25 I-3.84 J0.</v>
      </c>
      <c r="CS21" s="375" t="str">
        <f>CG21</f>
        <v>G03 X0. Y0. Z1.25 I-4.063 J0.</v>
      </c>
      <c r="CT21" s="375" t="str">
        <f>$CH$21</f>
        <v>G03 X0. Y0. Z1.25 I-3.84 J0.</v>
      </c>
      <c r="CU21" s="375" t="str">
        <f>CG21</f>
        <v>G03 X0. Y0. Z1.25 I-4.063 J0.</v>
      </c>
      <c r="CV21" s="375" t="str">
        <f>$CH$21</f>
        <v>G03 X0. Y0. Z1.25 I-3.84 J0.</v>
      </c>
      <c r="CW21" s="375" t="str">
        <f>CG21</f>
        <v>G03 X0. Y0. Z1.25 I-4.063 J0.</v>
      </c>
      <c r="CX21" s="375" t="str">
        <f>$CH$21</f>
        <v>G03 X0. Y0. Z1.25 I-3.84 J0.</v>
      </c>
      <c r="CY21" s="375" t="str">
        <f>CG21</f>
        <v>G03 X0. Y0. Z1.25 I-4.063 J0.</v>
      </c>
      <c r="CZ21" s="375" t="str">
        <f>$CH$21</f>
        <v>G03 X0. Y0. Z1.25 I-3.84 J0.</v>
      </c>
      <c r="DA21" s="375" t="str">
        <f>CG21</f>
        <v>G03 X0. Y0. Z1.25 I-4.063 J0.</v>
      </c>
      <c r="DB21" s="375" t="str">
        <f>$CH$21</f>
        <v>G03 X0. Y0. Z1.25 I-3.84 J0.</v>
      </c>
      <c r="DC21" s="375" t="str">
        <f>CG21</f>
        <v>G03 X0. Y0. Z1.25 I-4.063 J0.</v>
      </c>
      <c r="DD21" s="375" t="str">
        <f>$CH$21</f>
        <v>G03 X0. Y0. Z1.25 I-3.84 J0.</v>
      </c>
      <c r="DE21" s="23" t="str">
        <f>CONCATENATE(IM21,IN21,IO21,IP21,IQ21,IR21,IS21,IT21,IU21,IV21,IW21,IX21,IY21,IZ21)</f>
        <v>G02 X-4.063 Y-3.375 Z-0.313 R3,433</v>
      </c>
      <c r="DF21" s="23" t="str">
        <f>CONCATENATE(IM47,IN47,IO47,IP47,IQ47,IR47,IS47,IT47,IU47,IV47,IW47,IX47,IY47,IZ47)</f>
        <v>G02 X-3.84 Y-3.375 Z-0.313 R3,403</v>
      </c>
      <c r="DG21" s="375" t="str">
        <f>CONCATENATE(IM18,IN18,IO18,IP18,IQ18,IR18,IS18,IT18,IU18,IV18,IW18,IX18)</f>
        <v>G02 X0. Y0. Z-1.25 I-4.063 J0.</v>
      </c>
      <c r="DH21" s="375" t="str">
        <f>CONCATENATE(IM44,IN44,IO44,IP44,IQ44,IR44,IS44,IT44,IU44,IV44,IW44,IX44)</f>
        <v>G02 X0. Y0. Z-1.25 I-3.84 J0.</v>
      </c>
      <c r="DI21" s="375" t="str">
        <f>$DG$21</f>
        <v>G02 X0. Y0. Z-1.25 I-4.063 J0.</v>
      </c>
      <c r="DJ21" s="375" t="str">
        <f>$DH$21</f>
        <v>G02 X0. Y0. Z-1.25 I-3.84 J0.</v>
      </c>
      <c r="DK21" s="375" t="str">
        <f t="shared" ref="DK21:DK27" si="15">$DG$21</f>
        <v>G02 X0. Y0. Z-1.25 I-4.063 J0.</v>
      </c>
      <c r="DL21" s="375" t="str">
        <f t="shared" ref="DL21:DL27" si="16">$DH$21</f>
        <v>G02 X0. Y0. Z-1.25 I-3.84 J0.</v>
      </c>
      <c r="DM21" s="375" t="str">
        <f>$DG$21</f>
        <v>G02 X0. Y0. Z-1.25 I-4.063 J0.</v>
      </c>
      <c r="DN21" s="375" t="str">
        <f t="shared" ref="DN21:DN30" si="17">$DH$21</f>
        <v>G02 X0. Y0. Z-1.25 I-3.84 J0.</v>
      </c>
      <c r="DO21" s="375" t="str">
        <f>$DG$21</f>
        <v>G02 X0. Y0. Z-1.25 I-4.063 J0.</v>
      </c>
      <c r="DP21" s="375" t="str">
        <f t="shared" ref="DP21:DP33" si="18">$DH$21</f>
        <v>G02 X0. Y0. Z-1.25 I-3.84 J0.</v>
      </c>
      <c r="DQ21" s="375" t="str">
        <f>$DG$21</f>
        <v>G02 X0. Y0. Z-1.25 I-4.063 J0.</v>
      </c>
      <c r="DR21" s="375" t="str">
        <f t="shared" ref="DR21:DR36" si="19">$DH$21</f>
        <v>G02 X0. Y0. Z-1.25 I-3.84 J0.</v>
      </c>
      <c r="DS21" s="375" t="str">
        <f>$DG$21</f>
        <v>G02 X0. Y0. Z-1.25 I-4.063 J0.</v>
      </c>
      <c r="DT21" s="375" t="str">
        <f t="shared" ref="DT21:DT39" si="20">$DH$21</f>
        <v>G02 X0. Y0. Z-1.25 I-3.84 J0.</v>
      </c>
      <c r="DU21" s="375" t="str">
        <f>$DG$21</f>
        <v>G02 X0. Y0. Z-1.25 I-4.063 J0.</v>
      </c>
      <c r="DV21" s="375" t="str">
        <f t="shared" ref="DV21:DV42" si="21">$DH$21</f>
        <v>G02 X0. Y0. Z-1.25 I-3.84 J0.</v>
      </c>
      <c r="DW21" s="375" t="str">
        <f>$DG$21</f>
        <v>G02 X0. Y0. Z-1.25 I-4.063 J0.</v>
      </c>
      <c r="DX21" s="375" t="str">
        <f t="shared" ref="DX21:DX45" si="22">$DH$21</f>
        <v>G02 X0. Y0. Z-1.25 I-3.84 J0.</v>
      </c>
      <c r="DY21" s="375" t="str">
        <f>$DG$21</f>
        <v>G02 X0. Y0. Z-1.25 I-4.063 J0.</v>
      </c>
      <c r="DZ21" s="375" t="str">
        <f t="shared" ref="DZ21:DZ48" si="23">$DH$21</f>
        <v>G02 X0. Y0. Z-1.25 I-3.84 J0.</v>
      </c>
      <c r="EA21" s="375" t="str">
        <f>$DG$21</f>
        <v>G02 X0. Y0. Z-1.25 I-4.063 J0.</v>
      </c>
      <c r="EB21" s="375" t="str">
        <f t="shared" ref="EB21:EB51" si="24">$DH$21</f>
        <v>G02 X0. Y0. Z-1.25 I-3.84 J0.</v>
      </c>
      <c r="EC21" s="375" t="str">
        <f>$DG$21</f>
        <v>G02 X0. Y0. Z-1.25 I-4.063 J0.</v>
      </c>
      <c r="ED21" s="375" t="str">
        <f t="shared" ref="ED21:ED54" si="25">$DH$21</f>
        <v>G02 X0. Y0. Z-1.25 I-3.84 J0.</v>
      </c>
      <c r="EE21" s="375" t="str">
        <f>$DG$21</f>
        <v>G02 X0. Y0. Z-1.25 I-4.063 J0.</v>
      </c>
      <c r="EF21" s="375" t="str">
        <f t="shared" ref="EF21:EF57" si="26">$DH$21</f>
        <v>G02 X0. Y0. Z-1.25 I-3.84 J0.</v>
      </c>
      <c r="EG21" s="23" t="str">
        <f>CONCATENATE(GH21,GI21,GJ21,GK21,GL21,GM21,GN21,GO21,GP21,GQ21,GR21,GS21)</f>
        <v>G03 X-4.082 Y-4.072 Z0.313 I-0.01 J-4.072</v>
      </c>
      <c r="EH21" s="23" t="str">
        <f>CONCATENATE(GV21,GW21,GX21,GY21,GZ21,HA21,HB21,HC21,HD21,HE21,HF21,HG21)</f>
        <v>G03 X-3.86 Y-3.85 Z0.313 I-0.01 J-3.85</v>
      </c>
      <c r="EI21" s="23" t="str">
        <f>BY15</f>
        <v>G03 X4.063 Y3.375 Z0.313 R3,433</v>
      </c>
      <c r="EJ21" s="23" t="str">
        <f>BZ15</f>
        <v>G03 X3.84 Y3.375 Z0.313 R3,403</v>
      </c>
      <c r="EK21" s="23" t="str">
        <f>EG15</f>
        <v>G03 X4.063 Y3.375 Z0.313 R3,433</v>
      </c>
      <c r="EL21" s="23" t="str">
        <f>EH15</f>
        <v>G03 X3.84 Y3.375 Z0.313 R3,403</v>
      </c>
      <c r="EM21" s="23" t="str">
        <f>CONCATENATE(HS21,HT21,HU21,HV21,HW21,HX21,HY21,HZ21,IA21,IB21,IC21,ID21,IE21,IF21)</f>
        <v>G03 X0. Y0. Z1.25 I-4.063 J0. F80</v>
      </c>
      <c r="EN21" s="26">
        <v>7</v>
      </c>
      <c r="EO21" s="14" t="s">
        <v>675</v>
      </c>
      <c r="EP21" s="14" t="s">
        <v>674</v>
      </c>
      <c r="EQ21" s="14" t="str">
        <f>SUBSTITUTE(EQ19,",",".")</f>
        <v>-4.063</v>
      </c>
      <c r="ER21" s="14" t="str">
        <f>IF(EQ19=EQ20,". Y"," Y")</f>
        <v xml:space="preserve"> Y</v>
      </c>
      <c r="ES21" s="14" t="str">
        <f>SUBSTITUTE(ES19,",",".")</f>
        <v>3.375</v>
      </c>
      <c r="ET21" s="14" t="str">
        <f>IF(ES19=ES20,". Z"," Z")</f>
        <v xml:space="preserve"> Z</v>
      </c>
      <c r="EU21" s="14" t="str">
        <f>SUBSTITUTE(EU19,",",".")</f>
        <v>0.313</v>
      </c>
      <c r="EV21" s="418" t="str">
        <f>IF(BT5&gt;1,IF(BT5&gt;2," U"," CR=")," R")</f>
        <v xml:space="preserve"> R</v>
      </c>
      <c r="EW21" s="14">
        <f>BP52</f>
        <v>3.4329999999999998</v>
      </c>
      <c r="EX21" s="14"/>
      <c r="EY21" s="14"/>
      <c r="FC21" s="26">
        <v>7</v>
      </c>
      <c r="FD21" s="14" t="s">
        <v>675</v>
      </c>
      <c r="FE21" s="14" t="s">
        <v>674</v>
      </c>
      <c r="FF21" s="14" t="str">
        <f>SUBSTITUTE(FF19,",",".")</f>
        <v>-3.84</v>
      </c>
      <c r="FG21" s="14" t="str">
        <f>IF(FF19=FF20,". Y"," Y")</f>
        <v xml:space="preserve"> Y</v>
      </c>
      <c r="FH21" s="14" t="str">
        <f>SUBSTITUTE(FH19,",",".")</f>
        <v>3.375</v>
      </c>
      <c r="FI21" s="14" t="str">
        <f>IF(FH19=FH20,". Z"," Z")</f>
        <v xml:space="preserve"> Z</v>
      </c>
      <c r="FJ21" s="14" t="str">
        <f>SUBSTITUTE(FJ19,",",".")</f>
        <v>0.313</v>
      </c>
      <c r="FK21" s="418" t="str">
        <f>IF(BT5&gt;1,IF(BT5&gt;2," U"," CR=")," R")</f>
        <v xml:space="preserve"> R</v>
      </c>
      <c r="FL21" s="14">
        <f>BK51</f>
        <v>3.403</v>
      </c>
      <c r="FM21" s="14"/>
      <c r="FN21" s="14"/>
      <c r="FO21" s="16"/>
      <c r="FP21" s="16"/>
      <c r="FQ21" s="16"/>
      <c r="GG21" s="26">
        <v>7</v>
      </c>
      <c r="GH21" s="14" t="s">
        <v>675</v>
      </c>
      <c r="GI21" s="14" t="s">
        <v>674</v>
      </c>
      <c r="GJ21" s="14" t="str">
        <f>SUBSTITUTE(GJ19,",",".")</f>
        <v>-4.082</v>
      </c>
      <c r="GK21" s="14" t="str">
        <f>IF(GJ19=GJ20,". Y"," Y")</f>
        <v xml:space="preserve"> Y</v>
      </c>
      <c r="GL21" s="14" t="str">
        <f>SUBSTITUTE(GL19,",",".")</f>
        <v>-4.072</v>
      </c>
      <c r="GM21" s="14" t="str">
        <f>IF(GL19=GL20,". Z"," Z")</f>
        <v xml:space="preserve"> Z</v>
      </c>
      <c r="GN21" s="14" t="str">
        <f>SUBSTITUTE(GN19,",",".")</f>
        <v>0.313</v>
      </c>
      <c r="GO21" s="14" t="str">
        <f>IF(GN19=GN20,". I"," I")</f>
        <v xml:space="preserve"> I</v>
      </c>
      <c r="GP21" s="14" t="str">
        <f>SUBSTITUTE(GP19,",",".")</f>
        <v>-0.01</v>
      </c>
      <c r="GQ21" s="14" t="str">
        <f>IF(GP19=GP20,". J"," J")</f>
        <v xml:space="preserve"> J</v>
      </c>
      <c r="GR21" s="14" t="str">
        <f>SUBSTITUTE(GR19,",",".")</f>
        <v>-4.072</v>
      </c>
      <c r="GS21" s="14" t="str">
        <f>IF(GR19=GR20,".","")</f>
        <v/>
      </c>
      <c r="GU21" s="26">
        <v>7</v>
      </c>
      <c r="GV21" s="14" t="s">
        <v>675</v>
      </c>
      <c r="GW21" s="14" t="s">
        <v>674</v>
      </c>
      <c r="GX21" s="14" t="str">
        <f>SUBSTITUTE(GX19,",",".")</f>
        <v>-3.86</v>
      </c>
      <c r="GY21" s="14" t="str">
        <f>IF(GX19=GX20,". Y"," Y")</f>
        <v xml:space="preserve"> Y</v>
      </c>
      <c r="GZ21" s="14" t="str">
        <f>SUBSTITUTE(GZ19,",",".")</f>
        <v>-3.85</v>
      </c>
      <c r="HA21" s="14" t="str">
        <f>IF(GZ19=GZ20,". Z"," Z")</f>
        <v xml:space="preserve"> Z</v>
      </c>
      <c r="HB21" s="14" t="str">
        <f>SUBSTITUTE(HB19,",",".")</f>
        <v>0.313</v>
      </c>
      <c r="HC21" s="14" t="str">
        <f>IF(HB19=HB20,". I"," I")</f>
        <v xml:space="preserve"> I</v>
      </c>
      <c r="HD21" s="14" t="str">
        <f>SUBSTITUTE(HD19,",",".")</f>
        <v>-0.01</v>
      </c>
      <c r="HE21" s="14" t="str">
        <f>IF(HD19=HD20,". J"," J")</f>
        <v xml:space="preserve"> J</v>
      </c>
      <c r="HF21" s="14" t="str">
        <f>SUBSTITUTE(HF19,",",".")</f>
        <v>-3.85</v>
      </c>
      <c r="HG21" s="14" t="str">
        <f>IF(HF19=HF20,".","")</f>
        <v/>
      </c>
      <c r="HI21" s="26"/>
      <c r="HJ21" s="14"/>
      <c r="HK21" s="14"/>
      <c r="HL21" s="14"/>
      <c r="HM21" s="14"/>
      <c r="HN21" s="14"/>
      <c r="HO21" s="14"/>
      <c r="HP21" s="14"/>
      <c r="HQ21" s="14"/>
      <c r="HR21" s="26">
        <v>7</v>
      </c>
      <c r="HS21" s="14" t="s">
        <v>675</v>
      </c>
      <c r="HT21" s="14" t="s">
        <v>674</v>
      </c>
      <c r="HU21" s="14">
        <v>0</v>
      </c>
      <c r="HV21" s="14" t="s">
        <v>676</v>
      </c>
      <c r="HW21" s="14">
        <v>0</v>
      </c>
      <c r="HX21" s="186" t="s">
        <v>840</v>
      </c>
      <c r="HY21" s="14" t="str">
        <f>SUBSTITUTE(HY19,",",".")</f>
        <v>1.25</v>
      </c>
      <c r="HZ21" s="14" t="str">
        <f>IF(HY19=HY20,". I"," I")</f>
        <v xml:space="preserve"> I</v>
      </c>
      <c r="IA21" s="14" t="str">
        <f>SUBSTITUTE(IA19,",",".")</f>
        <v>-4.063</v>
      </c>
      <c r="IB21" s="14" t="str">
        <f>IF(IA19=IA20,". J"," J")</f>
        <v xml:space="preserve"> J</v>
      </c>
      <c r="IC21" s="14">
        <v>0</v>
      </c>
      <c r="ID21" s="16" t="s">
        <v>255</v>
      </c>
      <c r="IE21" s="16" t="s">
        <v>841</v>
      </c>
      <c r="IF21" s="176">
        <f>C30</f>
        <v>80</v>
      </c>
      <c r="IG21" s="26"/>
      <c r="IH21" s="14"/>
      <c r="II21" s="14"/>
      <c r="IJ21" s="14"/>
      <c r="IK21" s="14"/>
      <c r="IL21" s="26">
        <v>7</v>
      </c>
      <c r="IM21" s="14" t="s">
        <v>1749</v>
      </c>
      <c r="IN21" s="14" t="s">
        <v>674</v>
      </c>
      <c r="IO21" s="14" t="str">
        <f>SUBSTITUTE(IO19,",",".")</f>
        <v>-4.063</v>
      </c>
      <c r="IP21" s="14" t="str">
        <f>IF(IO19=IO20,". Y"," Y")</f>
        <v xml:space="preserve"> Y</v>
      </c>
      <c r="IQ21" s="14" t="str">
        <f>SUBSTITUTE(IQ19,",",".")</f>
        <v>-3.375</v>
      </c>
      <c r="IR21" s="14" t="str">
        <f>IF(IQ19=IQ20,". Z"," Z")</f>
        <v xml:space="preserve"> Z</v>
      </c>
      <c r="IS21" s="14" t="str">
        <f>SUBSTITUTE(IS19,",",".")</f>
        <v>-0.313</v>
      </c>
      <c r="IT21" s="418" t="str">
        <f>IF(BT5&gt;1,IF(BT5&gt;2," U"," CR=")," R")</f>
        <v xml:space="preserve"> R</v>
      </c>
      <c r="IU21" s="10">
        <f>BP52</f>
        <v>3.4329999999999998</v>
      </c>
      <c r="IV21" s="14"/>
      <c r="IW21" s="14"/>
      <c r="IX21" s="16"/>
      <c r="IY21" s="16"/>
      <c r="IZ21" s="16"/>
    </row>
    <row r="22" spans="1:260" ht="15.95" customHeight="1">
      <c r="A22" s="390"/>
      <c r="B22" s="393" t="str">
        <f>I68</f>
        <v>d = cutter diameter (mm)</v>
      </c>
      <c r="C22" s="402">
        <f>LOOKUP(BE12,AD2:AD235,AJ2:AJ235)</f>
        <v>6</v>
      </c>
      <c r="D22" s="150"/>
      <c r="E22" s="399"/>
      <c r="F22" s="391"/>
      <c r="G22" s="384" t="str">
        <f>IF(BW60=0,"",BW60)</f>
        <v/>
      </c>
      <c r="H22" s="16">
        <v>6</v>
      </c>
      <c r="I22" s="5" t="str">
        <f t="shared" si="14"/>
        <v>NPTF - Dryseal, Tapered Pipe Thread</v>
      </c>
      <c r="J22" s="5" t="s">
        <v>739</v>
      </c>
      <c r="K22" s="5" t="s">
        <v>786</v>
      </c>
      <c r="L22" s="5" t="s">
        <v>842</v>
      </c>
      <c r="M22" s="5" t="s">
        <v>148</v>
      </c>
      <c r="N22" s="5" t="s">
        <v>1372</v>
      </c>
      <c r="O22" s="5" t="s">
        <v>1064</v>
      </c>
      <c r="P22" s="5" t="s">
        <v>654</v>
      </c>
      <c r="Q22" s="5" t="s">
        <v>1121</v>
      </c>
      <c r="R22" s="5" t="s">
        <v>505</v>
      </c>
      <c r="S22" s="5" t="s">
        <v>402</v>
      </c>
      <c r="T22" s="5" t="s">
        <v>1447</v>
      </c>
      <c r="U22" s="5" t="s">
        <v>658</v>
      </c>
      <c r="V22" s="5" t="s">
        <v>73</v>
      </c>
      <c r="W22" s="5" t="s">
        <v>682</v>
      </c>
      <c r="X22" s="38" t="s">
        <v>456</v>
      </c>
      <c r="Y22" s="43" t="s">
        <v>1793</v>
      </c>
      <c r="Z22" s="39" t="s">
        <v>1794</v>
      </c>
      <c r="AA22" s="46" t="s">
        <v>1795</v>
      </c>
      <c r="AB22" s="5" t="s">
        <v>1039</v>
      </c>
      <c r="AD22" s="131">
        <v>21</v>
      </c>
      <c r="AE22" s="365">
        <v>1</v>
      </c>
      <c r="AF22" s="365">
        <v>3</v>
      </c>
      <c r="AG22" s="365">
        <v>1</v>
      </c>
      <c r="AH22" s="366" t="s">
        <v>1696</v>
      </c>
      <c r="AI22" s="352">
        <v>10</v>
      </c>
      <c r="AJ22" s="353">
        <v>9.9</v>
      </c>
      <c r="AK22" s="354">
        <v>3</v>
      </c>
      <c r="AL22" s="355">
        <v>1.75</v>
      </c>
      <c r="AM22" s="356">
        <v>25.2</v>
      </c>
      <c r="AN22" s="357">
        <v>73</v>
      </c>
      <c r="AO22" s="349">
        <v>11.6</v>
      </c>
      <c r="AP22" s="55">
        <f t="shared" si="0"/>
        <v>21</v>
      </c>
      <c r="AQ22" s="16" t="b">
        <f t="shared" si="1"/>
        <v>0</v>
      </c>
      <c r="AR22" s="16" t="b">
        <f t="shared" si="2"/>
        <v>0</v>
      </c>
      <c r="AS22" s="16">
        <f t="shared" si="3"/>
        <v>21</v>
      </c>
      <c r="AT22" s="16">
        <f t="shared" si="4"/>
        <v>21</v>
      </c>
      <c r="AU22" s="16" t="b">
        <f t="shared" si="5"/>
        <v>0</v>
      </c>
      <c r="BA22" s="61">
        <v>20</v>
      </c>
      <c r="BB22" s="157">
        <v>50</v>
      </c>
      <c r="BC22" s="158">
        <v>0.01</v>
      </c>
      <c r="BD22" s="158">
        <v>0.02</v>
      </c>
      <c r="BE22" s="79"/>
      <c r="BF22" s="66"/>
      <c r="BH22" s="11"/>
      <c r="BI22" s="10"/>
      <c r="BK22" s="76"/>
      <c r="BM22" s="65"/>
      <c r="BS22" s="14">
        <v>1000022</v>
      </c>
      <c r="BT22" s="14">
        <f t="shared" si="13"/>
        <v>0</v>
      </c>
      <c r="BV22" s="8"/>
      <c r="CI22" s="375"/>
      <c r="CJ22" s="375"/>
      <c r="CK22" s="375"/>
      <c r="CL22" s="375"/>
      <c r="CM22" s="375"/>
      <c r="CN22" s="375"/>
      <c r="CO22" s="375"/>
      <c r="CP22" s="375"/>
      <c r="CQ22" s="375"/>
      <c r="CR22" s="375"/>
      <c r="CS22" s="375"/>
      <c r="CT22" s="375"/>
      <c r="CU22" s="375"/>
      <c r="CV22" s="375"/>
      <c r="CW22" s="375"/>
      <c r="CX22" s="375"/>
      <c r="CY22" s="375"/>
      <c r="CZ22" s="375"/>
      <c r="DA22" s="375"/>
      <c r="DB22" s="375"/>
      <c r="DC22" s="375"/>
      <c r="DD22" s="375"/>
      <c r="DI22" s="375"/>
      <c r="DK22" s="375"/>
      <c r="DL22" s="375"/>
      <c r="DM22" s="375"/>
      <c r="DN22" s="375"/>
      <c r="DO22" s="375"/>
      <c r="DP22" s="375"/>
      <c r="DQ22" s="375"/>
      <c r="DR22" s="375"/>
      <c r="DS22" s="375"/>
      <c r="DT22" s="375"/>
      <c r="DU22" s="375"/>
      <c r="DV22" s="375"/>
      <c r="DW22" s="375"/>
      <c r="DX22" s="375"/>
      <c r="DY22" s="375"/>
      <c r="DZ22" s="375"/>
      <c r="EA22" s="375"/>
      <c r="EB22" s="375"/>
      <c r="EC22" s="375"/>
      <c r="ED22" s="375"/>
      <c r="EE22" s="375"/>
      <c r="EF22" s="375"/>
      <c r="EN22" s="26"/>
      <c r="EO22" s="14"/>
      <c r="EP22" s="14"/>
      <c r="EQ22" s="14"/>
      <c r="ER22" s="103">
        <v>0</v>
      </c>
      <c r="ES22" s="103"/>
      <c r="ET22" s="101">
        <f>BP55</f>
        <v>-3.375</v>
      </c>
      <c r="EU22" s="14"/>
      <c r="EV22" s="14"/>
      <c r="EW22" s="14"/>
      <c r="EX22" s="14"/>
      <c r="EY22" s="14"/>
      <c r="FC22" s="26"/>
      <c r="FD22" s="14"/>
      <c r="FE22" s="14"/>
      <c r="FF22" s="14"/>
      <c r="FG22" s="103">
        <v>0</v>
      </c>
      <c r="FH22" s="103"/>
      <c r="FI22" s="101">
        <f>BP55</f>
        <v>-3.375</v>
      </c>
      <c r="FJ22" s="14"/>
      <c r="FK22" s="14"/>
      <c r="FL22" s="14"/>
      <c r="FM22" s="14"/>
      <c r="FN22" s="14"/>
      <c r="FO22" s="16"/>
      <c r="FP22" s="16"/>
      <c r="FQ22" s="16"/>
      <c r="GJ22" s="423">
        <f>-GJ19</f>
        <v>4.0819999999999999</v>
      </c>
      <c r="GK22" s="423"/>
      <c r="GL22" s="423">
        <f>GJ19+GP19</f>
        <v>-4.0919999999999996</v>
      </c>
      <c r="GM22" s="423"/>
      <c r="GN22" s="423">
        <f>GN16</f>
        <v>0.313</v>
      </c>
      <c r="GO22" s="423"/>
      <c r="GP22" s="423">
        <f>GJ22</f>
        <v>4.0819999999999999</v>
      </c>
      <c r="GQ22" s="423"/>
      <c r="GR22" s="423">
        <f>-GR16</f>
        <v>-0.01</v>
      </c>
      <c r="GX22" s="14">
        <f>-GX19</f>
        <v>3.86</v>
      </c>
      <c r="GZ22" s="14">
        <f>GX19+HD19</f>
        <v>-3.8699999999999997</v>
      </c>
      <c r="HB22" s="14">
        <f>HB16</f>
        <v>0.313</v>
      </c>
      <c r="HD22" s="14">
        <f>GX22</f>
        <v>3.86</v>
      </c>
      <c r="HF22" s="14">
        <f>-HF16</f>
        <v>-0.01</v>
      </c>
      <c r="HI22" s="26"/>
      <c r="HJ22" s="14"/>
      <c r="HK22" s="14"/>
      <c r="HL22" s="14"/>
      <c r="HM22" s="103"/>
      <c r="HN22" s="103"/>
      <c r="HO22" s="101"/>
      <c r="HP22" s="14"/>
      <c r="HQ22" s="14"/>
      <c r="HR22" s="26"/>
      <c r="HS22" s="14"/>
      <c r="HT22" s="14"/>
      <c r="HU22" s="189">
        <f>-ROUND((BP49/2)-BP64,3)</f>
        <v>-7.0629999999999997</v>
      </c>
      <c r="HV22" s="103"/>
      <c r="HW22" s="103"/>
      <c r="HX22" s="101"/>
      <c r="HY22" s="14">
        <f>BP63</f>
        <v>0.625</v>
      </c>
      <c r="HZ22" s="14"/>
      <c r="IG22" s="26"/>
      <c r="IH22" s="14"/>
      <c r="II22" s="14"/>
      <c r="IJ22" s="14"/>
      <c r="IK22" s="103"/>
      <c r="IL22" s="26"/>
      <c r="IM22" s="14"/>
      <c r="IN22" s="14"/>
      <c r="IO22" s="14"/>
      <c r="IP22" s="103">
        <v>0</v>
      </c>
      <c r="IQ22" s="103"/>
      <c r="IR22" s="101">
        <f>-BP55</f>
        <v>3.375</v>
      </c>
      <c r="IS22" s="14"/>
      <c r="IT22" s="14"/>
      <c r="IU22" s="14"/>
      <c r="IV22" s="14"/>
      <c r="IW22" s="14"/>
      <c r="IX22" s="16"/>
      <c r="IY22" s="16"/>
      <c r="IZ22" s="16"/>
    </row>
    <row r="23" spans="1:260" ht="15.95" customHeight="1">
      <c r="A23" s="390"/>
      <c r="B23" s="394" t="str">
        <f>I69</f>
        <v>l = length of cutting edge (mm)</v>
      </c>
      <c r="C23" s="406">
        <f>LOOKUP(BE12,AD2:AD235,AM2:AM235)</f>
        <v>17.5</v>
      </c>
      <c r="D23" s="150"/>
      <c r="E23" s="399"/>
      <c r="F23" s="391"/>
      <c r="G23" s="384" t="str">
        <f>IF(BW63=0,"",BW63)</f>
        <v/>
      </c>
      <c r="H23" s="16">
        <v>7</v>
      </c>
      <c r="I23" s="5" t="str">
        <f t="shared" si="14"/>
        <v>NPSF - Pipe Thread</v>
      </c>
      <c r="J23" s="5" t="s">
        <v>1314</v>
      </c>
      <c r="K23" s="5" t="s">
        <v>1313</v>
      </c>
      <c r="L23" s="5" t="s">
        <v>846</v>
      </c>
      <c r="M23" s="5" t="s">
        <v>149</v>
      </c>
      <c r="N23" s="5" t="s">
        <v>615</v>
      </c>
      <c r="O23" s="5" t="s">
        <v>1339</v>
      </c>
      <c r="P23" s="5" t="s">
        <v>655</v>
      </c>
      <c r="Q23" s="5" t="s">
        <v>1122</v>
      </c>
      <c r="R23" s="5" t="s">
        <v>506</v>
      </c>
      <c r="S23" s="5" t="s">
        <v>403</v>
      </c>
      <c r="T23" s="5" t="s">
        <v>490</v>
      </c>
      <c r="U23" s="5" t="s">
        <v>688</v>
      </c>
      <c r="V23" s="5" t="s">
        <v>74</v>
      </c>
      <c r="W23" s="5" t="s">
        <v>603</v>
      </c>
      <c r="X23" s="38" t="s">
        <v>457</v>
      </c>
      <c r="Y23" s="43" t="s">
        <v>1796</v>
      </c>
      <c r="Z23" s="39" t="s">
        <v>1797</v>
      </c>
      <c r="AA23" s="46" t="s">
        <v>1798</v>
      </c>
      <c r="AB23" s="5" t="s">
        <v>1040</v>
      </c>
      <c r="AD23" s="131">
        <v>22</v>
      </c>
      <c r="AE23" s="365">
        <v>1</v>
      </c>
      <c r="AF23" s="365">
        <v>3</v>
      </c>
      <c r="AG23" s="365">
        <v>1</v>
      </c>
      <c r="AH23" s="366" t="s">
        <v>1697</v>
      </c>
      <c r="AI23" s="352">
        <v>10</v>
      </c>
      <c r="AJ23" s="353">
        <v>8.1999999999999993</v>
      </c>
      <c r="AK23" s="354">
        <v>3</v>
      </c>
      <c r="AL23" s="355">
        <v>1.5</v>
      </c>
      <c r="AM23" s="356">
        <v>21</v>
      </c>
      <c r="AN23" s="357">
        <v>73</v>
      </c>
      <c r="AO23" s="349">
        <v>9.6</v>
      </c>
      <c r="AP23" s="55">
        <f t="shared" si="0"/>
        <v>22</v>
      </c>
      <c r="AQ23" s="16" t="b">
        <f t="shared" si="1"/>
        <v>0</v>
      </c>
      <c r="AR23" s="16" t="b">
        <f t="shared" si="2"/>
        <v>0</v>
      </c>
      <c r="AS23" s="16">
        <f t="shared" si="3"/>
        <v>22</v>
      </c>
      <c r="AT23" s="16">
        <f t="shared" si="4"/>
        <v>22</v>
      </c>
      <c r="AU23" s="16" t="b">
        <f t="shared" si="5"/>
        <v>0</v>
      </c>
      <c r="BA23" s="61">
        <v>21</v>
      </c>
      <c r="BB23" s="157">
        <v>30</v>
      </c>
      <c r="BC23" s="158">
        <v>6.0000000000000001E-3</v>
      </c>
      <c r="BD23" s="158">
        <v>8.0000000000000002E-3</v>
      </c>
      <c r="BE23" s="74" t="s">
        <v>762</v>
      </c>
      <c r="BF23" s="66">
        <f>BF3</f>
        <v>2.5000000000000001E-2</v>
      </c>
      <c r="BH23" s="11"/>
      <c r="BI23" s="10"/>
      <c r="BK23" s="74" t="s">
        <v>771</v>
      </c>
      <c r="BL23" s="232">
        <f>IF(BF29=1,BL21*BP9,IF(BF29=2,BN53*BP9,IF(BF29=3,BN57*BP9)))</f>
        <v>8.4</v>
      </c>
      <c r="BM23" s="65"/>
      <c r="BS23" s="14">
        <v>1000032</v>
      </c>
      <c r="BT23" s="14">
        <f t="shared" si="13"/>
        <v>0</v>
      </c>
      <c r="BV23" s="8"/>
      <c r="CI23" s="375"/>
      <c r="CJ23" s="375"/>
      <c r="CK23" s="375"/>
      <c r="CL23" s="375"/>
      <c r="CM23" s="375"/>
      <c r="CN23" s="375"/>
      <c r="CO23" s="375"/>
      <c r="CP23" s="375"/>
      <c r="CQ23" s="375"/>
      <c r="CR23" s="375"/>
      <c r="CS23" s="375"/>
      <c r="CT23" s="375"/>
      <c r="CU23" s="375"/>
      <c r="CV23" s="375"/>
      <c r="CW23" s="375"/>
      <c r="CX23" s="375"/>
      <c r="CY23" s="375"/>
      <c r="CZ23" s="375"/>
      <c r="DA23" s="375"/>
      <c r="DB23" s="375"/>
      <c r="DC23" s="375"/>
      <c r="DD23" s="375"/>
      <c r="DI23" s="375"/>
      <c r="DK23" s="375"/>
      <c r="DL23" s="375"/>
      <c r="DM23" s="375"/>
      <c r="DN23" s="375"/>
      <c r="DO23" s="375"/>
      <c r="DP23" s="375"/>
      <c r="DQ23" s="375"/>
      <c r="DR23" s="375"/>
      <c r="DS23" s="375"/>
      <c r="DT23" s="375"/>
      <c r="DU23" s="375"/>
      <c r="DV23" s="375"/>
      <c r="DW23" s="375"/>
      <c r="DX23" s="375"/>
      <c r="DY23" s="375"/>
      <c r="DZ23" s="375"/>
      <c r="EA23" s="375"/>
      <c r="EB23" s="375"/>
      <c r="EC23" s="375"/>
      <c r="ED23" s="375"/>
      <c r="EE23" s="375"/>
      <c r="EF23" s="375"/>
      <c r="ER23" s="102">
        <f>INT(ER22)</f>
        <v>0</v>
      </c>
      <c r="ES23" s="104"/>
      <c r="ET23" s="102">
        <f>INT(ET22)</f>
        <v>-4</v>
      </c>
      <c r="FC23" s="24"/>
      <c r="FD23"/>
      <c r="FE23"/>
      <c r="FF23"/>
      <c r="FG23" s="102">
        <f>INT(FG22)</f>
        <v>0</v>
      </c>
      <c r="FH23" s="104"/>
      <c r="FI23" s="102">
        <f>INT(FI22)</f>
        <v>-4</v>
      </c>
      <c r="FJ23"/>
      <c r="FK23"/>
      <c r="FL23"/>
      <c r="FM23"/>
      <c r="FN23"/>
      <c r="FO23" s="16"/>
      <c r="FP23" s="16"/>
      <c r="FQ23" s="16"/>
      <c r="GJ23" s="424">
        <f>INT(GJ22)</f>
        <v>4</v>
      </c>
      <c r="GK23" s="423"/>
      <c r="GL23" s="424">
        <f>INT(GL22)</f>
        <v>-5</v>
      </c>
      <c r="GM23" s="423"/>
      <c r="GN23" s="424">
        <f>INT(GN22)</f>
        <v>0</v>
      </c>
      <c r="GO23" s="423"/>
      <c r="GP23" s="424">
        <f>INT(GP22)</f>
        <v>4</v>
      </c>
      <c r="GQ23" s="423"/>
      <c r="GR23" s="424">
        <f>INT(GR22)</f>
        <v>-1</v>
      </c>
      <c r="GX23" s="16">
        <f>INT(GX22)</f>
        <v>3</v>
      </c>
      <c r="GZ23" s="16">
        <f>INT(GZ22)</f>
        <v>-4</v>
      </c>
      <c r="HB23" s="16">
        <f>INT(HB22)</f>
        <v>0</v>
      </c>
      <c r="HD23" s="16">
        <f>INT(HD22)</f>
        <v>3</v>
      </c>
      <c r="HF23" s="16">
        <f>INT(HF22)</f>
        <v>-1</v>
      </c>
      <c r="HM23" s="102"/>
      <c r="HN23" s="104"/>
      <c r="HO23" s="102"/>
      <c r="HU23" s="102">
        <f>INT(HU22)</f>
        <v>-8</v>
      </c>
      <c r="HV23" s="102"/>
      <c r="HW23" s="104"/>
      <c r="HX23" s="102"/>
      <c r="HY23" s="102">
        <f>INT(HY22)</f>
        <v>0</v>
      </c>
      <c r="IG23" s="24"/>
      <c r="IH23"/>
      <c r="II23"/>
      <c r="IJ23"/>
      <c r="IK23" s="102"/>
      <c r="IL23" s="24"/>
      <c r="IM23"/>
      <c r="IN23"/>
      <c r="IO23"/>
      <c r="IP23" s="102">
        <f>INT(IP22)</f>
        <v>0</v>
      </c>
      <c r="IQ23" s="104"/>
      <c r="IR23" s="102">
        <f>INT(IR22)</f>
        <v>3</v>
      </c>
      <c r="IS23"/>
      <c r="IT23"/>
      <c r="IU23"/>
      <c r="IV23"/>
      <c r="IW23"/>
      <c r="IX23" s="16"/>
      <c r="IY23" s="16"/>
      <c r="IZ23" s="16"/>
    </row>
    <row r="24" spans="1:260" ht="15.95" customHeight="1">
      <c r="A24" s="390"/>
      <c r="B24" s="394" t="str">
        <f>I70</f>
        <v>z = number of flutes</v>
      </c>
      <c r="C24" s="406">
        <f>LOOKUP(BE12,AD2:AD235,AK2:AK235)</f>
        <v>3</v>
      </c>
      <c r="D24" s="150"/>
      <c r="E24" s="399"/>
      <c r="F24" s="391"/>
      <c r="G24" s="384" t="str">
        <f>IF(BW66=0,"",BW66)</f>
        <v/>
      </c>
      <c r="H24" s="16">
        <v>8</v>
      </c>
      <c r="I24" s="5" t="str">
        <f t="shared" si="14"/>
        <v>PG - Panzerrohrgewinde</v>
      </c>
      <c r="J24" s="5" t="s">
        <v>128</v>
      </c>
      <c r="K24" s="5" t="s">
        <v>128</v>
      </c>
      <c r="L24" s="5" t="s">
        <v>850</v>
      </c>
      <c r="M24" s="5" t="s">
        <v>150</v>
      </c>
      <c r="N24" s="5" t="s">
        <v>128</v>
      </c>
      <c r="O24" s="5" t="s">
        <v>1065</v>
      </c>
      <c r="P24" s="5" t="s">
        <v>656</v>
      </c>
      <c r="Q24" s="5" t="s">
        <v>128</v>
      </c>
      <c r="R24" s="5" t="s">
        <v>450</v>
      </c>
      <c r="S24" s="5" t="s">
        <v>404</v>
      </c>
      <c r="T24" s="5" t="s">
        <v>128</v>
      </c>
      <c r="U24" s="5" t="s">
        <v>689</v>
      </c>
      <c r="V24" s="5" t="s">
        <v>75</v>
      </c>
      <c r="W24" s="5" t="s">
        <v>556</v>
      </c>
      <c r="X24" s="38" t="s">
        <v>458</v>
      </c>
      <c r="Y24" s="43" t="s">
        <v>1799</v>
      </c>
      <c r="Z24" s="39" t="s">
        <v>1800</v>
      </c>
      <c r="AA24" s="46" t="s">
        <v>1801</v>
      </c>
      <c r="AB24" s="5" t="s">
        <v>128</v>
      </c>
      <c r="AD24" s="131">
        <v>23</v>
      </c>
      <c r="AE24" s="365">
        <v>1</v>
      </c>
      <c r="AF24" s="365">
        <v>3</v>
      </c>
      <c r="AG24" s="365">
        <v>1</v>
      </c>
      <c r="AH24" s="366" t="s">
        <v>1698</v>
      </c>
      <c r="AI24" s="352">
        <v>8</v>
      </c>
      <c r="AJ24" s="353">
        <v>6.5</v>
      </c>
      <c r="AK24" s="354">
        <v>3</v>
      </c>
      <c r="AL24" s="355">
        <v>1.25</v>
      </c>
      <c r="AM24" s="356">
        <v>16.8</v>
      </c>
      <c r="AN24" s="357">
        <v>63</v>
      </c>
      <c r="AO24" s="349">
        <v>7.8</v>
      </c>
      <c r="AP24" s="55">
        <f t="shared" si="0"/>
        <v>23</v>
      </c>
      <c r="AQ24" s="16">
        <f t="shared" si="1"/>
        <v>23</v>
      </c>
      <c r="AR24" s="16">
        <f t="shared" si="2"/>
        <v>23</v>
      </c>
      <c r="AS24" s="16" t="b">
        <f t="shared" si="3"/>
        <v>0</v>
      </c>
      <c r="AT24" s="16">
        <f t="shared" si="4"/>
        <v>23</v>
      </c>
      <c r="AU24" s="16" t="b">
        <f t="shared" si="5"/>
        <v>0</v>
      </c>
      <c r="BA24" s="61">
        <v>22</v>
      </c>
      <c r="BB24" s="157">
        <v>180</v>
      </c>
      <c r="BC24" s="158">
        <v>0.05</v>
      </c>
      <c r="BD24" s="158">
        <v>7.0000000000000007E-2</v>
      </c>
      <c r="BE24" s="74" t="s">
        <v>624</v>
      </c>
      <c r="BF24" s="66">
        <f>BF23*1.25</f>
        <v>3.125E-2</v>
      </c>
      <c r="BH24" s="11"/>
      <c r="BI24" s="10"/>
      <c r="BK24" s="76"/>
      <c r="BL24" s="14">
        <f>IF(D23&gt;0,BL23/BP9,BL23)</f>
        <v>8.4</v>
      </c>
      <c r="BM24" s="65"/>
      <c r="BO24">
        <f>(60*PI()*C9)/C29</f>
        <v>4.7420266469279895</v>
      </c>
      <c r="BS24" s="14">
        <v>1000112</v>
      </c>
      <c r="BT24" s="14">
        <f t="shared" si="13"/>
        <v>0</v>
      </c>
      <c r="BV24" s="8">
        <v>8</v>
      </c>
      <c r="BW24" s="54" t="str">
        <f>LOOKUP(BT$54,BX$2:EM$2,BX24:EM24)</f>
        <v>G00 G40 X0. Y-3.375</v>
      </c>
      <c r="BY24" s="23" t="str">
        <f t="shared" si="11"/>
        <v>G00 G40 X0. Y-3.375</v>
      </c>
      <c r="BZ24" s="23" t="str">
        <f>CONCATENATE(FD24,FE24,FF24,FG24,FH24,FI24,FJ24)</f>
        <v>G00 G40 X0. Y-3.375</v>
      </c>
      <c r="CA24" s="23" t="str">
        <f>BY15</f>
        <v>G03 X4.063 Y3.375 Z0.313 R3,433</v>
      </c>
      <c r="CB24" s="23" t="str">
        <f>BZ15</f>
        <v>G03 X3.84 Y3.375 Z0.313 R3,403</v>
      </c>
      <c r="CC24" s="4" t="str">
        <f>CA18</f>
        <v>WHILE[#2LT#1]DO1</v>
      </c>
      <c r="CD24" s="23" t="str">
        <f>CC24</f>
        <v>WHILE[#2LT#1]DO1</v>
      </c>
      <c r="CE24" s="23" t="str">
        <f>BY24</f>
        <v>G00 G40 X0. Y-3.375</v>
      </c>
      <c r="CF24" s="23" t="str">
        <f>BZ24</f>
        <v>G00 G40 X0. Y-3.375</v>
      </c>
      <c r="CG24" s="23" t="str">
        <f>CE21</f>
        <v>G03 X-4.063 Y3.375 Z0.313 R3,433</v>
      </c>
      <c r="CH24" s="23" t="str">
        <f>$CF$21</f>
        <v>G03 X-3.84 Y3.375 Z0.313 R3,403</v>
      </c>
      <c r="CI24" s="375" t="str">
        <f>CG21</f>
        <v>G03 X0. Y0. Z1.25 I-4.063 J0.</v>
      </c>
      <c r="CJ24" s="375" t="str">
        <f>$CH$21</f>
        <v>G03 X0. Y0. Z1.25 I-3.84 J0.</v>
      </c>
      <c r="CK24" s="375" t="str">
        <f>CG21</f>
        <v>G03 X0. Y0. Z1.25 I-4.063 J0.</v>
      </c>
      <c r="CL24" s="375" t="str">
        <f>$CH$21</f>
        <v>G03 X0. Y0. Z1.25 I-3.84 J0.</v>
      </c>
      <c r="CM24" s="375" t="str">
        <f>CG21</f>
        <v>G03 X0. Y0. Z1.25 I-4.063 J0.</v>
      </c>
      <c r="CN24" s="375" t="str">
        <f>$CH$21</f>
        <v>G03 X0. Y0. Z1.25 I-3.84 J0.</v>
      </c>
      <c r="CO24" s="375" t="str">
        <f>CG21</f>
        <v>G03 X0. Y0. Z1.25 I-4.063 J0.</v>
      </c>
      <c r="CP24" s="375" t="str">
        <f>$CH$21</f>
        <v>G03 X0. Y0. Z1.25 I-3.84 J0.</v>
      </c>
      <c r="CQ24" s="375" t="str">
        <f>CG21</f>
        <v>G03 X0. Y0. Z1.25 I-4.063 J0.</v>
      </c>
      <c r="CR24" s="375" t="str">
        <f>$CH$21</f>
        <v>G03 X0. Y0. Z1.25 I-3.84 J0.</v>
      </c>
      <c r="CS24" s="375" t="str">
        <f>$CG$21</f>
        <v>G03 X0. Y0. Z1.25 I-4.063 J0.</v>
      </c>
      <c r="CT24" s="375" t="str">
        <f>$CH$21</f>
        <v>G03 X0. Y0. Z1.25 I-3.84 J0.</v>
      </c>
      <c r="CU24" s="375" t="str">
        <f>$CG$21</f>
        <v>G03 X0. Y0. Z1.25 I-4.063 J0.</v>
      </c>
      <c r="CV24" s="375" t="str">
        <f>$CH$21</f>
        <v>G03 X0. Y0. Z1.25 I-3.84 J0.</v>
      </c>
      <c r="CW24" s="375" t="str">
        <f>$CG$21</f>
        <v>G03 X0. Y0. Z1.25 I-4.063 J0.</v>
      </c>
      <c r="CX24" s="375" t="str">
        <f>$CH$21</f>
        <v>G03 X0. Y0. Z1.25 I-3.84 J0.</v>
      </c>
      <c r="CY24" s="375" t="str">
        <f>$CG$21</f>
        <v>G03 X0. Y0. Z1.25 I-4.063 J0.</v>
      </c>
      <c r="CZ24" s="375" t="str">
        <f>$CH$21</f>
        <v>G03 X0. Y0. Z1.25 I-3.84 J0.</v>
      </c>
      <c r="DA24" s="375" t="str">
        <f>$CG$21</f>
        <v>G03 X0. Y0. Z1.25 I-4.063 J0.</v>
      </c>
      <c r="DB24" s="375" t="str">
        <f>$CH$21</f>
        <v>G03 X0. Y0. Z1.25 I-3.84 J0.</v>
      </c>
      <c r="DC24" s="375" t="str">
        <f>$CG$21</f>
        <v>G03 X0. Y0. Z1.25 I-4.063 J0.</v>
      </c>
      <c r="DD24" s="375" t="str">
        <f>$CH$21</f>
        <v>G03 X0. Y0. Z1.25 I-3.84 J0.</v>
      </c>
      <c r="DE24" s="23" t="str">
        <f>CONCATENATE(IM24,IN24,IO24,IP24,IQ24,IR24,IS24,IT24,IU24,IV24,IW24,IX24,IY24,IZ24)</f>
        <v>G00 G40 X0. Y3.375</v>
      </c>
      <c r="DF24" s="23" t="str">
        <f>CONCATENATE(IM50,IN50,IO50,IP50,IQ50,IR50,IS50,IT50,IU50,IV50,IW50,IX50,IY50,IZ50)</f>
        <v>G00 G40 X0. Y3.375</v>
      </c>
      <c r="DG24" s="23" t="str">
        <f>$DE$21</f>
        <v>G02 X-4.063 Y-3.375 Z-0.313 R3,433</v>
      </c>
      <c r="DH24" s="23" t="str">
        <f>$DF$21</f>
        <v>G02 X-3.84 Y-3.375 Z-0.313 R3,403</v>
      </c>
      <c r="DI24" s="375" t="str">
        <f>$DG$21</f>
        <v>G02 X0. Y0. Z-1.25 I-4.063 J0.</v>
      </c>
      <c r="DJ24" s="375" t="str">
        <f>$DH$21</f>
        <v>G02 X0. Y0. Z-1.25 I-3.84 J0.</v>
      </c>
      <c r="DK24" s="375" t="str">
        <f t="shared" si="15"/>
        <v>G02 X0. Y0. Z-1.25 I-4.063 J0.</v>
      </c>
      <c r="DL24" s="375" t="str">
        <f t="shared" si="16"/>
        <v>G02 X0. Y0. Z-1.25 I-3.84 J0.</v>
      </c>
      <c r="DM24" s="375" t="str">
        <f>$DG$21</f>
        <v>G02 X0. Y0. Z-1.25 I-4.063 J0.</v>
      </c>
      <c r="DN24" s="375" t="str">
        <f t="shared" si="17"/>
        <v>G02 X0. Y0. Z-1.25 I-3.84 J0.</v>
      </c>
      <c r="DO24" s="375" t="str">
        <f>$DG$21</f>
        <v>G02 X0. Y0. Z-1.25 I-4.063 J0.</v>
      </c>
      <c r="DP24" s="375" t="str">
        <f t="shared" si="18"/>
        <v>G02 X0. Y0. Z-1.25 I-3.84 J0.</v>
      </c>
      <c r="DQ24" s="375" t="str">
        <f>$DG$21</f>
        <v>G02 X0. Y0. Z-1.25 I-4.063 J0.</v>
      </c>
      <c r="DR24" s="375" t="str">
        <f t="shared" si="19"/>
        <v>G02 X0. Y0. Z-1.25 I-3.84 J0.</v>
      </c>
      <c r="DS24" s="375" t="str">
        <f>$DG$21</f>
        <v>G02 X0. Y0. Z-1.25 I-4.063 J0.</v>
      </c>
      <c r="DT24" s="375" t="str">
        <f t="shared" si="20"/>
        <v>G02 X0. Y0. Z-1.25 I-3.84 J0.</v>
      </c>
      <c r="DU24" s="375" t="str">
        <f>$DG$21</f>
        <v>G02 X0. Y0. Z-1.25 I-4.063 J0.</v>
      </c>
      <c r="DV24" s="375" t="str">
        <f t="shared" si="21"/>
        <v>G02 X0. Y0. Z-1.25 I-3.84 J0.</v>
      </c>
      <c r="DW24" s="375" t="str">
        <f>$DG$21</f>
        <v>G02 X0. Y0. Z-1.25 I-4.063 J0.</v>
      </c>
      <c r="DX24" s="375" t="str">
        <f t="shared" si="22"/>
        <v>G02 X0. Y0. Z-1.25 I-3.84 J0.</v>
      </c>
      <c r="DY24" s="375" t="str">
        <f>$DG$21</f>
        <v>G02 X0. Y0. Z-1.25 I-4.063 J0.</v>
      </c>
      <c r="DZ24" s="375" t="str">
        <f t="shared" si="23"/>
        <v>G02 X0. Y0. Z-1.25 I-3.84 J0.</v>
      </c>
      <c r="EA24" s="375" t="str">
        <f>$DG$21</f>
        <v>G02 X0. Y0. Z-1.25 I-4.063 J0.</v>
      </c>
      <c r="EB24" s="375" t="str">
        <f t="shared" si="24"/>
        <v>G02 X0. Y0. Z-1.25 I-3.84 J0.</v>
      </c>
      <c r="EC24" s="375" t="str">
        <f>$DG$21</f>
        <v>G02 X0. Y0. Z-1.25 I-4.063 J0.</v>
      </c>
      <c r="ED24" s="375" t="str">
        <f t="shared" si="25"/>
        <v>G02 X0. Y0. Z-1.25 I-3.84 J0.</v>
      </c>
      <c r="EE24" s="375" t="str">
        <f>$DG$21</f>
        <v>G02 X0. Y0. Z-1.25 I-4.063 J0.</v>
      </c>
      <c r="EF24" s="375" t="str">
        <f t="shared" si="26"/>
        <v>G02 X0. Y0. Z-1.25 I-3.84 J0.</v>
      </c>
      <c r="EG24" s="23" t="str">
        <f>CONCATENATE(GH24,GI24,GJ24,GK24,GL24,GM24,GN24,GO24,GP24,GQ24,GR24,GS24)</f>
        <v>G03 X4.082 Y-4.092 Z0.313 I4.082 J-0.01</v>
      </c>
      <c r="EH24" s="23" t="str">
        <f>CONCATENATE(GV24,GW24,GX24,GY24,GZ24,HA24,HB24,HC24,HD24,HE24,HF24,HG24)</f>
        <v>G03 X3.86 Y-3.87 Z0.313 I3.86 J-0.01</v>
      </c>
      <c r="EI24" s="23" t="str">
        <f>BY18</f>
        <v>G03 X0. Y0. Z1.25 I-4.063 J0. F80</v>
      </c>
      <c r="EJ24" s="23" t="str">
        <f>BZ18</f>
        <v>G03 X0. Y0. Z1.25 I-3.84 J0. F70</v>
      </c>
      <c r="EK24" s="23" t="str">
        <f>EG18</f>
        <v>G03 X-4.063 Y4.072 Z0.313 I-4.063 J0.01 F80</v>
      </c>
      <c r="EL24" s="23" t="str">
        <f>EH18</f>
        <v>G03 X-3.84 Y3.85 Z0.313 I-3.84 J0.01 F70</v>
      </c>
      <c r="EM24" s="23" t="str">
        <f>CONCATENATE(HS24,HT24,HU24,HV24,HW24,HX24,HY24,HZ24,IA24,IB24,IC24,ID24,IE24,IF24)</f>
        <v>G03 X-7.063 Y0. Z0.625 R3,531</v>
      </c>
      <c r="EN24" s="26">
        <v>8</v>
      </c>
      <c r="EO24" s="14" t="s">
        <v>854</v>
      </c>
      <c r="EP24" s="14" t="s">
        <v>671</v>
      </c>
      <c r="EQ24" s="14" t="s">
        <v>674</v>
      </c>
      <c r="ER24" s="14" t="str">
        <f>SUBSTITUTE(ER22,",",".")</f>
        <v>0</v>
      </c>
      <c r="ES24" s="14" t="str">
        <f>IF(ER22=ER23,". Y"," Y")</f>
        <v>. Y</v>
      </c>
      <c r="ET24" s="14" t="str">
        <f>SUBSTITUTE(ET22,",",".")</f>
        <v>-3.375</v>
      </c>
      <c r="EU24" s="14" t="str">
        <f>IF(ET22=ET23,".","")</f>
        <v/>
      </c>
      <c r="EV24" s="14"/>
      <c r="EW24" s="14"/>
      <c r="EX24" s="14"/>
      <c r="EY24" s="14"/>
      <c r="FC24" s="26">
        <v>8</v>
      </c>
      <c r="FD24" s="14" t="s">
        <v>854</v>
      </c>
      <c r="FE24" s="14" t="s">
        <v>671</v>
      </c>
      <c r="FF24" s="14" t="s">
        <v>674</v>
      </c>
      <c r="FG24" s="14" t="str">
        <f>SUBSTITUTE(FG22,",",".")</f>
        <v>0</v>
      </c>
      <c r="FH24" s="14" t="str">
        <f>IF(FG22=FG23,". Y"," Y")</f>
        <v>. Y</v>
      </c>
      <c r="FI24" s="14" t="str">
        <f>SUBSTITUTE(FI22,",",".")</f>
        <v>-3.375</v>
      </c>
      <c r="FJ24" s="14" t="str">
        <f>IF(FI22=FI23,".","")</f>
        <v/>
      </c>
      <c r="FK24" s="14"/>
      <c r="FL24" s="14"/>
      <c r="FM24" s="14"/>
      <c r="FN24" s="14"/>
      <c r="FO24" s="16"/>
      <c r="FP24" s="16"/>
      <c r="FQ24" s="16"/>
      <c r="GG24" s="26">
        <v>8</v>
      </c>
      <c r="GH24" s="14" t="s">
        <v>675</v>
      </c>
      <c r="GI24" s="14" t="s">
        <v>674</v>
      </c>
      <c r="GJ24" s="14" t="str">
        <f>SUBSTITUTE(GJ22,",",".")</f>
        <v>4.082</v>
      </c>
      <c r="GK24" s="14" t="str">
        <f>IF(GJ22=GJ23,". Y"," Y")</f>
        <v xml:space="preserve"> Y</v>
      </c>
      <c r="GL24" s="14" t="str">
        <f>SUBSTITUTE(GL22,",",".")</f>
        <v>-4.092</v>
      </c>
      <c r="GM24" s="14" t="str">
        <f>IF(GL22=GL23,". Z"," Z")</f>
        <v xml:space="preserve"> Z</v>
      </c>
      <c r="GN24" s="14" t="str">
        <f>SUBSTITUTE(GN22,",",".")</f>
        <v>0.313</v>
      </c>
      <c r="GO24" s="14" t="str">
        <f>IF(GN22=GN23,". I"," I")</f>
        <v xml:space="preserve"> I</v>
      </c>
      <c r="GP24" s="14" t="str">
        <f>SUBSTITUTE(GP22,",",".")</f>
        <v>4.082</v>
      </c>
      <c r="GQ24" s="14" t="str">
        <f>IF(GP22=GP23,". J"," J")</f>
        <v xml:space="preserve"> J</v>
      </c>
      <c r="GR24" s="14" t="str">
        <f>SUBSTITUTE(GR22,",",".")</f>
        <v>-0.01</v>
      </c>
      <c r="GS24" s="14" t="str">
        <f>IF(GR22=GR23,".","")</f>
        <v/>
      </c>
      <c r="GU24" s="26">
        <v>8</v>
      </c>
      <c r="GV24" s="14" t="s">
        <v>675</v>
      </c>
      <c r="GW24" s="14" t="s">
        <v>674</v>
      </c>
      <c r="GX24" s="14" t="str">
        <f>SUBSTITUTE(GX22,",",".")</f>
        <v>3.86</v>
      </c>
      <c r="GY24" s="14" t="str">
        <f>IF(GX22=GX23,". Y"," Y")</f>
        <v xml:space="preserve"> Y</v>
      </c>
      <c r="GZ24" s="14" t="str">
        <f>SUBSTITUTE(GZ22,",",".")</f>
        <v>-3.87</v>
      </c>
      <c r="HA24" s="14" t="str">
        <f>IF(GZ22=GZ23,". Z"," Z")</f>
        <v xml:space="preserve"> Z</v>
      </c>
      <c r="HB24" s="14" t="str">
        <f>SUBSTITUTE(HB22,",",".")</f>
        <v>0.313</v>
      </c>
      <c r="HC24" s="14" t="str">
        <f>IF(HB22=HB23,". I"," I")</f>
        <v xml:space="preserve"> I</v>
      </c>
      <c r="HD24" s="14" t="str">
        <f>SUBSTITUTE(HD22,",",".")</f>
        <v>3.86</v>
      </c>
      <c r="HE24" s="14" t="str">
        <f>IF(HD22=HD23,". J"," J")</f>
        <v xml:space="preserve"> J</v>
      </c>
      <c r="HF24" s="14" t="str">
        <f>SUBSTITUTE(HF22,",",".")</f>
        <v>-0.01</v>
      </c>
      <c r="HG24" s="14" t="str">
        <f>IF(HF22=HF23,".","")</f>
        <v/>
      </c>
      <c r="HI24" s="26"/>
      <c r="HJ24" s="14"/>
      <c r="HK24" s="14"/>
      <c r="HL24" s="14"/>
      <c r="HM24" s="14"/>
      <c r="HN24" s="14"/>
      <c r="HO24" s="14"/>
      <c r="HP24" s="14"/>
      <c r="HQ24" s="14"/>
      <c r="HR24" s="26">
        <v>8</v>
      </c>
      <c r="HS24" s="14" t="s">
        <v>675</v>
      </c>
      <c r="HT24" s="14" t="s">
        <v>674</v>
      </c>
      <c r="HU24" s="14" t="str">
        <f>SUBSTITUTE(HU22,",",".")</f>
        <v>-7.063</v>
      </c>
      <c r="HV24" s="14" t="str">
        <f>IF(HU22=HU23,". Y"," Y")</f>
        <v xml:space="preserve"> Y</v>
      </c>
      <c r="HW24" s="14">
        <v>0</v>
      </c>
      <c r="HX24" s="14" t="str">
        <f>IF(HW22=HW23,". Z"," Z")</f>
        <v>. Z</v>
      </c>
      <c r="HY24" s="14" t="str">
        <f>SUBSTITUTE(HY22,",",".")</f>
        <v>0.625</v>
      </c>
      <c r="HZ24" s="418" t="str">
        <f>IF(BT5&gt;1,IF(BT5&gt;2," U"," CR=")," R")</f>
        <v xml:space="preserve"> R</v>
      </c>
      <c r="IA24" s="14">
        <f>BP62</f>
        <v>3.5310000000000001</v>
      </c>
      <c r="IG24" s="26"/>
      <c r="IH24" s="14"/>
      <c r="II24" s="14"/>
      <c r="IJ24" s="14"/>
      <c r="IK24" s="14"/>
      <c r="IL24" s="26">
        <v>8</v>
      </c>
      <c r="IM24" s="14" t="s">
        <v>854</v>
      </c>
      <c r="IN24" s="14" t="s">
        <v>671</v>
      </c>
      <c r="IO24" s="14" t="s">
        <v>674</v>
      </c>
      <c r="IP24" s="14" t="str">
        <f>SUBSTITUTE(IP22,",",".")</f>
        <v>0</v>
      </c>
      <c r="IQ24" s="14" t="str">
        <f>IF(IP22=IP23,". Y"," Y")</f>
        <v>. Y</v>
      </c>
      <c r="IR24" s="14" t="str">
        <f>SUBSTITUTE(IR22,",",".")</f>
        <v>3.375</v>
      </c>
      <c r="IS24" s="14" t="str">
        <f>IF(IR22=IR23,".","")</f>
        <v/>
      </c>
      <c r="IT24" s="14"/>
      <c r="IU24" s="14"/>
      <c r="IV24" s="14"/>
      <c r="IW24" s="14"/>
      <c r="IX24" s="16"/>
      <c r="IY24" s="16"/>
      <c r="IZ24" s="16"/>
    </row>
    <row r="25" spans="1:260" ht="15.95" customHeight="1">
      <c r="A25" s="390"/>
      <c r="B25" s="394" t="str">
        <f>I71</f>
        <v>V = cutting speed (m/min)</v>
      </c>
      <c r="C25" s="407">
        <f>BE3</f>
        <v>80</v>
      </c>
      <c r="D25" s="150"/>
      <c r="E25" s="399"/>
      <c r="F25" s="391"/>
      <c r="G25" s="384" t="str">
        <f>IF(BW69=0,"",BW69)</f>
        <v/>
      </c>
      <c r="J25" s="5" t="s">
        <v>738</v>
      </c>
      <c r="K25" s="5" t="s">
        <v>734</v>
      </c>
      <c r="L25" s="5" t="s">
        <v>855</v>
      </c>
      <c r="M25" s="5" t="s">
        <v>145</v>
      </c>
      <c r="N25" s="5" t="s">
        <v>736</v>
      </c>
      <c r="O25" s="5" t="s">
        <v>1338</v>
      </c>
      <c r="P25" s="5" t="s">
        <v>1329</v>
      </c>
      <c r="Q25" s="5" t="s">
        <v>1120</v>
      </c>
      <c r="R25" s="5" t="s">
        <v>504</v>
      </c>
      <c r="S25" s="5" t="s">
        <v>80</v>
      </c>
      <c r="T25" s="5" t="s">
        <v>1446</v>
      </c>
      <c r="U25" s="5" t="s">
        <v>1289</v>
      </c>
      <c r="V25" s="5" t="s">
        <v>72</v>
      </c>
      <c r="W25" s="5" t="s">
        <v>681</v>
      </c>
      <c r="X25" s="38" t="s">
        <v>386</v>
      </c>
      <c r="Y25" s="136" t="s">
        <v>1784</v>
      </c>
      <c r="Z25" s="136" t="s">
        <v>1785</v>
      </c>
      <c r="AA25" s="46" t="s">
        <v>1786</v>
      </c>
      <c r="AB25" s="5" t="s">
        <v>1048</v>
      </c>
      <c r="AD25" s="131">
        <v>24</v>
      </c>
      <c r="AE25" s="365">
        <v>1</v>
      </c>
      <c r="AF25" s="365">
        <v>3</v>
      </c>
      <c r="AG25" s="365">
        <v>1</v>
      </c>
      <c r="AH25" s="366" t="s">
        <v>1699</v>
      </c>
      <c r="AI25" s="352">
        <v>6</v>
      </c>
      <c r="AJ25" s="353">
        <v>4.8</v>
      </c>
      <c r="AK25" s="354">
        <v>3</v>
      </c>
      <c r="AL25" s="355">
        <v>1</v>
      </c>
      <c r="AM25" s="356">
        <v>12.6</v>
      </c>
      <c r="AN25" s="357">
        <v>57</v>
      </c>
      <c r="AO25" s="349">
        <v>5.8</v>
      </c>
      <c r="AP25" s="55">
        <f t="shared" si="0"/>
        <v>24</v>
      </c>
      <c r="AQ25" s="16">
        <f t="shared" si="1"/>
        <v>24</v>
      </c>
      <c r="AR25" s="16" t="b">
        <f t="shared" si="2"/>
        <v>0</v>
      </c>
      <c r="AS25" s="16" t="b">
        <f t="shared" si="3"/>
        <v>0</v>
      </c>
      <c r="AT25" s="16">
        <f t="shared" si="4"/>
        <v>24</v>
      </c>
      <c r="AU25" s="16" t="b">
        <f t="shared" si="5"/>
        <v>0</v>
      </c>
      <c r="BA25" s="61">
        <v>23</v>
      </c>
      <c r="BB25" s="157">
        <v>140</v>
      </c>
      <c r="BC25" s="158">
        <v>0.05</v>
      </c>
      <c r="BD25" s="158">
        <v>7.0000000000000007E-2</v>
      </c>
      <c r="BE25" s="74"/>
      <c r="BF25" s="66"/>
      <c r="BH25" s="11"/>
      <c r="BI25" s="10"/>
      <c r="BK25" s="79"/>
      <c r="BL25" s="9">
        <f>BJ65</f>
        <v>65.290000000000006</v>
      </c>
      <c r="BM25" s="65"/>
      <c r="BO25">
        <f>((60*PI()*2*BP52)/C29)*(2*BP53)/360</f>
        <v>2.2734602854219106</v>
      </c>
      <c r="BS25" s="14">
        <v>1000122</v>
      </c>
      <c r="BT25" s="14">
        <f t="shared" si="13"/>
        <v>0</v>
      </c>
      <c r="BV25" s="8"/>
      <c r="CK25" s="375"/>
      <c r="CL25" s="375"/>
      <c r="CM25" s="375"/>
      <c r="CN25" s="375"/>
      <c r="CO25" s="375"/>
      <c r="CP25" s="375"/>
      <c r="CQ25" s="375"/>
      <c r="CR25" s="375"/>
      <c r="CS25" s="375"/>
      <c r="CT25" s="375"/>
      <c r="CU25" s="375"/>
      <c r="CV25" s="375"/>
      <c r="CW25" s="375"/>
      <c r="CX25" s="375"/>
      <c r="CY25" s="375"/>
      <c r="CZ25" s="375"/>
      <c r="DA25" s="375"/>
      <c r="DB25" s="375"/>
      <c r="DC25" s="375"/>
      <c r="DD25" s="375"/>
      <c r="DK25" s="375"/>
      <c r="DL25" s="375"/>
      <c r="DM25" s="375"/>
      <c r="DN25" s="375"/>
      <c r="DO25" s="375"/>
      <c r="DP25" s="375"/>
      <c r="DQ25" s="375"/>
      <c r="DR25" s="375"/>
      <c r="DS25" s="375"/>
      <c r="DT25" s="375"/>
      <c r="DU25" s="375"/>
      <c r="DV25" s="375"/>
      <c r="DW25" s="375"/>
      <c r="DX25" s="375"/>
      <c r="DY25" s="375"/>
      <c r="DZ25" s="375"/>
      <c r="EA25" s="375"/>
      <c r="EB25" s="375"/>
      <c r="EC25" s="375"/>
      <c r="ED25" s="375"/>
      <c r="EE25" s="375"/>
      <c r="EF25" s="375"/>
      <c r="EN25" s="26"/>
      <c r="EO25" s="14"/>
      <c r="EP25" s="14"/>
      <c r="EQ25" s="101">
        <f>-ER7-EU13-EU16-EU19</f>
        <v>18.937000000000001</v>
      </c>
      <c r="ER25" s="14"/>
      <c r="ES25" s="14"/>
      <c r="ET25" s="14"/>
      <c r="EU25" s="14"/>
      <c r="EV25" s="14"/>
      <c r="EW25" s="14"/>
      <c r="EX25" s="14"/>
      <c r="EY25" s="14"/>
      <c r="FC25" s="26"/>
      <c r="FD25" s="14"/>
      <c r="FE25" s="14"/>
      <c r="FF25" s="10">
        <f>-FJ13-FJ16-FJ19</f>
        <v>-1.8759999999999999</v>
      </c>
      <c r="FG25" s="14"/>
      <c r="FH25" s="14"/>
      <c r="FI25" s="14"/>
      <c r="FJ25" s="14"/>
      <c r="FK25" s="14"/>
      <c r="FL25" s="14"/>
      <c r="FM25" s="14"/>
      <c r="FN25" s="14"/>
      <c r="FO25" s="16"/>
      <c r="FP25" s="16"/>
      <c r="FQ25" s="16"/>
      <c r="GI25" s="423"/>
      <c r="GJ25" s="423">
        <f>-(GL22+GR22)</f>
        <v>4.1019999999999994</v>
      </c>
      <c r="GK25" s="423"/>
      <c r="GL25" s="423">
        <f>-GL22</f>
        <v>4.0919999999999996</v>
      </c>
      <c r="GM25" s="423"/>
      <c r="GN25" s="423">
        <f>GN16</f>
        <v>0.313</v>
      </c>
      <c r="GO25" s="423"/>
      <c r="GP25" s="423">
        <f>GR16</f>
        <v>0.01</v>
      </c>
      <c r="GQ25" s="423"/>
      <c r="GR25" s="423">
        <f>GL25</f>
        <v>4.0919999999999996</v>
      </c>
      <c r="GS25" s="423"/>
      <c r="GX25" s="14">
        <f>-(GZ22+HF22)</f>
        <v>3.8799999999999994</v>
      </c>
      <c r="GZ25" s="14">
        <f>-GZ22</f>
        <v>3.8699999999999997</v>
      </c>
      <c r="HB25" s="14">
        <f>HB16</f>
        <v>0.313</v>
      </c>
      <c r="HD25" s="14">
        <f>HF16</f>
        <v>0.01</v>
      </c>
      <c r="HF25" s="14">
        <f>GZ25</f>
        <v>3.8699999999999997</v>
      </c>
      <c r="HI25" s="26"/>
      <c r="HJ25" s="14"/>
      <c r="HK25" s="14"/>
      <c r="HL25" s="101"/>
      <c r="HM25" s="14"/>
      <c r="HN25" s="14"/>
      <c r="HO25" s="14"/>
      <c r="HP25" s="14"/>
      <c r="HQ25" s="14"/>
      <c r="HR25" s="26"/>
      <c r="HS25" s="14"/>
      <c r="HT25" s="14"/>
      <c r="HU25" s="14"/>
      <c r="HV25" s="101">
        <f>-BP64</f>
        <v>3</v>
      </c>
      <c r="HW25" s="103"/>
      <c r="HX25" s="101"/>
      <c r="HY25" s="14"/>
      <c r="HZ25" s="14"/>
      <c r="IA25" s="14"/>
      <c r="ID25" s="16"/>
      <c r="IE25" s="16"/>
      <c r="IF25" s="16"/>
      <c r="IG25" s="26"/>
      <c r="IH25" s="14"/>
      <c r="II25" s="14"/>
      <c r="IJ25" s="10">
        <f>-(BR12+0.5)*BL6</f>
        <v>-16.875</v>
      </c>
      <c r="IK25" s="14"/>
      <c r="IL25" s="26"/>
      <c r="IM25" s="14"/>
      <c r="IN25" s="14"/>
      <c r="IO25" s="10"/>
      <c r="IP25" s="14"/>
      <c r="IQ25" s="14"/>
      <c r="IR25" s="14">
        <v>200</v>
      </c>
      <c r="IS25" s="14"/>
      <c r="IT25" s="14"/>
      <c r="IU25" s="14"/>
      <c r="IV25" s="14"/>
      <c r="IW25" s="14"/>
      <c r="IX25" s="16"/>
      <c r="IY25" s="16"/>
      <c r="IZ25" s="16"/>
    </row>
    <row r="26" spans="1:260" ht="15.95" customHeight="1">
      <c r="A26" s="390"/>
      <c r="B26" s="394" t="str">
        <f>I72</f>
        <v>Fz = feed/tooth (mm/tooth)</v>
      </c>
      <c r="C26" s="408">
        <f>BF28</f>
        <v>2.5000000000000001E-2</v>
      </c>
      <c r="D26" s="151"/>
      <c r="E26" s="399"/>
      <c r="F26" s="391"/>
      <c r="G26" s="384" t="str">
        <f>IF(BW72=0,"",BW72)</f>
        <v/>
      </c>
      <c r="X26" s="38"/>
      <c r="AA26" s="46"/>
      <c r="AD26" s="131">
        <v>25</v>
      </c>
      <c r="AE26" s="365">
        <v>1</v>
      </c>
      <c r="AF26" s="365">
        <v>3</v>
      </c>
      <c r="AG26" s="365">
        <v>1</v>
      </c>
      <c r="AH26" s="366" t="s">
        <v>1700</v>
      </c>
      <c r="AI26" s="352">
        <v>6</v>
      </c>
      <c r="AJ26" s="353">
        <v>4.04</v>
      </c>
      <c r="AK26" s="354">
        <v>3</v>
      </c>
      <c r="AL26" s="355">
        <v>0.8</v>
      </c>
      <c r="AM26" s="356">
        <v>10.5</v>
      </c>
      <c r="AN26" s="357">
        <v>57</v>
      </c>
      <c r="AO26" s="349">
        <v>4.8</v>
      </c>
      <c r="AP26" s="55">
        <f t="shared" si="0"/>
        <v>25</v>
      </c>
      <c r="AQ26" s="16">
        <f t="shared" si="1"/>
        <v>25</v>
      </c>
      <c r="AR26" s="16" t="b">
        <f t="shared" si="2"/>
        <v>0</v>
      </c>
      <c r="AS26" s="16" t="b">
        <f t="shared" si="3"/>
        <v>0</v>
      </c>
      <c r="AT26" s="16">
        <f t="shared" si="4"/>
        <v>25</v>
      </c>
      <c r="AU26" s="16" t="b">
        <f t="shared" si="5"/>
        <v>0</v>
      </c>
      <c r="BA26" s="61">
        <v>24</v>
      </c>
      <c r="BB26" s="157">
        <v>65</v>
      </c>
      <c r="BC26" s="158">
        <v>0.04</v>
      </c>
      <c r="BD26" s="158">
        <v>0.06</v>
      </c>
      <c r="BE26" s="76"/>
      <c r="BF26" s="66">
        <f>IF(BF29=1,BF23,IF(BF29=2,BF24))</f>
        <v>2.5000000000000001E-2</v>
      </c>
      <c r="BH26" s="11"/>
      <c r="BI26" s="10"/>
      <c r="BK26" s="79"/>
      <c r="BL26" s="9">
        <f>ROUND(BL25,1)</f>
        <v>65.3</v>
      </c>
      <c r="BM26" s="65"/>
      <c r="BS26" s="14">
        <v>1000132</v>
      </c>
      <c r="BT26" s="14">
        <f t="shared" si="13"/>
        <v>0</v>
      </c>
      <c r="BV26" s="8"/>
      <c r="CK26" s="375"/>
      <c r="CL26" s="375"/>
      <c r="CM26" s="375"/>
      <c r="CN26" s="375"/>
      <c r="CO26" s="375"/>
      <c r="CP26" s="375"/>
      <c r="CQ26" s="375"/>
      <c r="CR26" s="375"/>
      <c r="CS26" s="375"/>
      <c r="CT26" s="375"/>
      <c r="CU26" s="375"/>
      <c r="CV26" s="375"/>
      <c r="CW26" s="375"/>
      <c r="CX26" s="375"/>
      <c r="CY26" s="375"/>
      <c r="CZ26" s="375"/>
      <c r="DA26" s="375"/>
      <c r="DB26" s="375"/>
      <c r="DC26" s="375"/>
      <c r="DD26" s="375"/>
      <c r="DK26" s="375"/>
      <c r="DL26" s="375"/>
      <c r="DM26" s="375"/>
      <c r="DN26" s="375"/>
      <c r="DO26" s="375"/>
      <c r="DP26" s="375"/>
      <c r="DQ26" s="375"/>
      <c r="DR26" s="375"/>
      <c r="DS26" s="375"/>
      <c r="DT26" s="375"/>
      <c r="DU26" s="375"/>
      <c r="DV26" s="375"/>
      <c r="DW26" s="375"/>
      <c r="DX26" s="375"/>
      <c r="DY26" s="375"/>
      <c r="DZ26" s="375"/>
      <c r="EA26" s="375"/>
      <c r="EB26" s="375"/>
      <c r="EC26" s="375"/>
      <c r="ED26" s="375"/>
      <c r="EE26" s="375"/>
      <c r="EF26" s="375"/>
      <c r="EQ26" s="102">
        <f>INT(EQ25)</f>
        <v>18</v>
      </c>
      <c r="FC26" s="24"/>
      <c r="FD26"/>
      <c r="FE26"/>
      <c r="FF26" s="16">
        <f>INT(FF25)</f>
        <v>-2</v>
      </c>
      <c r="FG26"/>
      <c r="FH26"/>
      <c r="FI26"/>
      <c r="FJ26"/>
      <c r="FK26"/>
      <c r="FL26"/>
      <c r="FM26"/>
      <c r="FN26"/>
      <c r="FO26" s="16"/>
      <c r="FP26" s="16"/>
      <c r="FQ26" s="16"/>
      <c r="GI26" s="423"/>
      <c r="GJ26" s="424">
        <f>INT(GJ25)</f>
        <v>4</v>
      </c>
      <c r="GK26" s="423"/>
      <c r="GL26" s="424">
        <f>INT(GL25)</f>
        <v>4</v>
      </c>
      <c r="GM26" s="423"/>
      <c r="GN26" s="424">
        <f>INT(GN25)</f>
        <v>0</v>
      </c>
      <c r="GO26" s="423"/>
      <c r="GP26" s="424">
        <f>INT(GP25)</f>
        <v>0</v>
      </c>
      <c r="GQ26" s="423"/>
      <c r="GR26" s="424">
        <f>INT(GR25)</f>
        <v>4</v>
      </c>
      <c r="GS26" s="423"/>
      <c r="GX26" s="16">
        <f>INT(GX25)</f>
        <v>3</v>
      </c>
      <c r="GZ26" s="16">
        <f>INT(GZ25)</f>
        <v>3</v>
      </c>
      <c r="HB26" s="16">
        <f>INT(HB25)</f>
        <v>0</v>
      </c>
      <c r="HD26" s="16">
        <f>INT(HD25)</f>
        <v>0</v>
      </c>
      <c r="HF26" s="16">
        <f>INT(HF25)</f>
        <v>3</v>
      </c>
      <c r="HL26" s="102"/>
      <c r="HV26" s="190">
        <f>INT(HV25)</f>
        <v>3</v>
      </c>
      <c r="HW26" s="104"/>
      <c r="HX26" s="102"/>
      <c r="IA26"/>
      <c r="IB26"/>
      <c r="IC26"/>
      <c r="ID26" s="16"/>
      <c r="IE26" s="16"/>
      <c r="IF26" s="16"/>
      <c r="IG26" s="24"/>
      <c r="IH26"/>
      <c r="II26"/>
      <c r="IJ26" s="16">
        <f>INT(IJ25)</f>
        <v>-17</v>
      </c>
      <c r="IK26"/>
      <c r="IL26" s="24"/>
      <c r="IM26"/>
      <c r="IN26"/>
      <c r="IP26"/>
      <c r="IQ26"/>
      <c r="IR26" s="14">
        <f>INT(IR25)</f>
        <v>200</v>
      </c>
      <c r="IS26"/>
      <c r="IT26"/>
      <c r="IU26"/>
      <c r="IV26"/>
      <c r="IW26"/>
      <c r="IX26" s="16"/>
      <c r="IY26" s="16"/>
      <c r="IZ26" s="16"/>
    </row>
    <row r="27" spans="1:260" ht="15.95" customHeight="1">
      <c r="A27" s="390"/>
      <c r="B27" s="394" t="str">
        <f>IF(BP37=1,"",I79)</f>
        <v/>
      </c>
      <c r="C27" s="409" t="str">
        <f>IF(BP37=3,BF46,"")</f>
        <v/>
      </c>
      <c r="D27" s="243"/>
      <c r="E27" s="399"/>
      <c r="F27" s="391"/>
      <c r="G27" s="384" t="str">
        <f>IF(BW75=0,"",BW75)</f>
        <v/>
      </c>
      <c r="H27" s="36">
        <v>1</v>
      </c>
      <c r="I27" s="5" t="str">
        <f t="shared" ref="I27:I56" si="27">LOOKUP(H$27,J$2:L$2,J27:L27)</f>
        <v>Steel, Low Carbon, &lt; 0,25% C, &lt; 400 N/mm2</v>
      </c>
      <c r="J27" s="5" t="s">
        <v>721</v>
      </c>
      <c r="K27" s="5" t="s">
        <v>1047</v>
      </c>
      <c r="L27" s="40" t="s">
        <v>856</v>
      </c>
      <c r="M27" s="5" t="s">
        <v>279</v>
      </c>
      <c r="N27" s="5" t="s">
        <v>616</v>
      </c>
      <c r="O27" s="5" t="s">
        <v>642</v>
      </c>
      <c r="P27" s="5" t="s">
        <v>1066</v>
      </c>
      <c r="Q27" s="5" t="s">
        <v>1123</v>
      </c>
      <c r="R27" s="5" t="s">
        <v>507</v>
      </c>
      <c r="S27" s="5" t="s">
        <v>1259</v>
      </c>
      <c r="T27" s="5" t="s">
        <v>497</v>
      </c>
      <c r="U27" s="5" t="s">
        <v>683</v>
      </c>
      <c r="V27" s="5" t="s">
        <v>315</v>
      </c>
      <c r="W27" s="5" t="s">
        <v>778</v>
      </c>
      <c r="X27" s="38" t="s">
        <v>459</v>
      </c>
      <c r="Y27" s="43" t="s">
        <v>1802</v>
      </c>
      <c r="Z27" s="39" t="s">
        <v>1803</v>
      </c>
      <c r="AA27" s="417" t="s">
        <v>1804</v>
      </c>
      <c r="AB27" s="5" t="s">
        <v>1113</v>
      </c>
      <c r="AD27" s="131">
        <v>26</v>
      </c>
      <c r="AE27" s="365">
        <v>1</v>
      </c>
      <c r="AF27" s="365">
        <v>3</v>
      </c>
      <c r="AG27" s="365">
        <v>1</v>
      </c>
      <c r="AH27" s="366" t="s">
        <v>1701</v>
      </c>
      <c r="AI27" s="352">
        <v>6</v>
      </c>
      <c r="AJ27" s="353">
        <v>3.16</v>
      </c>
      <c r="AK27" s="354">
        <v>3</v>
      </c>
      <c r="AL27" s="355">
        <v>0.7</v>
      </c>
      <c r="AM27" s="356">
        <v>8.4</v>
      </c>
      <c r="AN27" s="357">
        <v>57</v>
      </c>
      <c r="AO27" s="349">
        <v>3.8</v>
      </c>
      <c r="AP27" s="55">
        <f t="shared" si="0"/>
        <v>26</v>
      </c>
      <c r="AQ27" s="16">
        <f t="shared" si="1"/>
        <v>26</v>
      </c>
      <c r="AR27" s="16" t="b">
        <f t="shared" si="2"/>
        <v>0</v>
      </c>
      <c r="AS27" s="16" t="b">
        <f t="shared" si="3"/>
        <v>0</v>
      </c>
      <c r="AT27" s="16">
        <f t="shared" si="4"/>
        <v>26</v>
      </c>
      <c r="AU27" s="16" t="b">
        <f t="shared" si="5"/>
        <v>0</v>
      </c>
      <c r="BA27" s="61">
        <v>25</v>
      </c>
      <c r="BB27" s="157">
        <v>200</v>
      </c>
      <c r="BC27" s="158">
        <v>7.0000000000000007E-2</v>
      </c>
      <c r="BD27" s="158">
        <v>0.1</v>
      </c>
      <c r="BE27" s="74" t="s">
        <v>139</v>
      </c>
      <c r="BF27" s="66">
        <f>1.2*BF26</f>
        <v>0.03</v>
      </c>
      <c r="BG27" s="380" t="s">
        <v>1746</v>
      </c>
      <c r="BH27" s="11"/>
      <c r="BI27" s="10"/>
      <c r="BK27" s="79"/>
      <c r="BL27" s="9">
        <f>ROUND(BL25,0)</f>
        <v>65</v>
      </c>
      <c r="BM27" s="65"/>
      <c r="BS27" s="14">
        <v>1001012</v>
      </c>
      <c r="BT27" s="14">
        <f t="shared" si="13"/>
        <v>0</v>
      </c>
      <c r="BV27" s="8">
        <v>9</v>
      </c>
      <c r="BW27" s="54" t="str">
        <f>LOOKUP(BT$54,BX$2:EM$2,BX27:EM27)</f>
        <v>G00 Z18.937</v>
      </c>
      <c r="BY27" s="23" t="str">
        <f t="shared" si="11"/>
        <v>G00 Z18.937</v>
      </c>
      <c r="BZ27" s="23" t="str">
        <f>CONCATENATE(FD27,FE27,FF27,FG27)</f>
        <v>G00 Z-1.876</v>
      </c>
      <c r="CA27" s="23" t="str">
        <f>BY18</f>
        <v>G03 X0. Y0. Z1.25 I-4.063 J0. F80</v>
      </c>
      <c r="CB27" s="23" t="str">
        <f>BZ18</f>
        <v>G03 X0. Y0. Z1.25 I-3.84 J0. F70</v>
      </c>
      <c r="CC27" s="4" t="str">
        <f>BY18</f>
        <v>G03 X0. Y0. Z1.25 I-4.063 J0. F80</v>
      </c>
      <c r="CD27" s="23" t="str">
        <f>BZ18</f>
        <v>G03 X0. Y0. Z1.25 I-3.84 J0. F70</v>
      </c>
      <c r="CE27" s="23" t="str">
        <f>BY30</f>
        <v>G90 G49 G00 Z200. M5</v>
      </c>
      <c r="CF27" s="23" t="str">
        <f>CONCATENATE(IH27,II27,IJ27,IK27)</f>
        <v>G00 Z-16.875</v>
      </c>
      <c r="CG27" s="23" t="str">
        <f>CE24</f>
        <v>G00 G40 X0. Y-3.375</v>
      </c>
      <c r="CH27" s="23" t="str">
        <f>$CF$24</f>
        <v>G00 G40 X0. Y-3.375</v>
      </c>
      <c r="CI27" s="23" t="str">
        <f>CG24</f>
        <v>G03 X-4.063 Y3.375 Z0.313 R3,433</v>
      </c>
      <c r="CJ27" s="23" t="str">
        <f>$CF$21</f>
        <v>G03 X-3.84 Y3.375 Z0.313 R3,403</v>
      </c>
      <c r="CK27" s="375" t="str">
        <f>CG21</f>
        <v>G03 X0. Y0. Z1.25 I-4.063 J0.</v>
      </c>
      <c r="CL27" s="375" t="str">
        <f>$CH$21</f>
        <v>G03 X0. Y0. Z1.25 I-3.84 J0.</v>
      </c>
      <c r="CM27" s="375" t="str">
        <f>CG21</f>
        <v>G03 X0. Y0. Z1.25 I-4.063 J0.</v>
      </c>
      <c r="CN27" s="375" t="str">
        <f>$CH$21</f>
        <v>G03 X0. Y0. Z1.25 I-3.84 J0.</v>
      </c>
      <c r="CO27" s="375" t="str">
        <f>CG21</f>
        <v>G03 X0. Y0. Z1.25 I-4.063 J0.</v>
      </c>
      <c r="CP27" s="375" t="str">
        <f>$CH$21</f>
        <v>G03 X0. Y0. Z1.25 I-3.84 J0.</v>
      </c>
      <c r="CQ27" s="375" t="str">
        <f>CG21</f>
        <v>G03 X0. Y0. Z1.25 I-4.063 J0.</v>
      </c>
      <c r="CR27" s="375" t="str">
        <f>$CH$21</f>
        <v>G03 X0. Y0. Z1.25 I-3.84 J0.</v>
      </c>
      <c r="CS27" s="375" t="str">
        <f>$CG$21</f>
        <v>G03 X0. Y0. Z1.25 I-4.063 J0.</v>
      </c>
      <c r="CT27" s="375" t="str">
        <f>$CH$21</f>
        <v>G03 X0. Y0. Z1.25 I-3.84 J0.</v>
      </c>
      <c r="CU27" s="375" t="str">
        <f>$CG$21</f>
        <v>G03 X0. Y0. Z1.25 I-4.063 J0.</v>
      </c>
      <c r="CV27" s="375" t="str">
        <f>$CH$21</f>
        <v>G03 X0. Y0. Z1.25 I-3.84 J0.</v>
      </c>
      <c r="CW27" s="375" t="str">
        <f>$CG$21</f>
        <v>G03 X0. Y0. Z1.25 I-4.063 J0.</v>
      </c>
      <c r="CX27" s="375" t="str">
        <f>$CH$21</f>
        <v>G03 X0. Y0. Z1.25 I-3.84 J0.</v>
      </c>
      <c r="CY27" s="375" t="str">
        <f>$CG$21</f>
        <v>G03 X0. Y0. Z1.25 I-4.063 J0.</v>
      </c>
      <c r="CZ27" s="375" t="str">
        <f>$CH$21</f>
        <v>G03 X0. Y0. Z1.25 I-3.84 J0.</v>
      </c>
      <c r="DA27" s="375" t="str">
        <f>$CG$21</f>
        <v>G03 X0. Y0. Z1.25 I-4.063 J0.</v>
      </c>
      <c r="DB27" s="375" t="str">
        <f>$CH$21</f>
        <v>G03 X0. Y0. Z1.25 I-3.84 J0.</v>
      </c>
      <c r="DC27" s="375" t="str">
        <f>$CG$21</f>
        <v>G03 X0. Y0. Z1.25 I-4.063 J0.</v>
      </c>
      <c r="DD27" s="375" t="str">
        <f>$CH$21</f>
        <v>G03 X0. Y0. Z1.25 I-3.84 J0.</v>
      </c>
      <c r="DE27" s="23" t="str">
        <f>CONCATENATE(IM27,IN27,IO27,IP27,IQ27,IR27,IS27,IT27,IU27,IV27,IW27,IX27,IY27,IZ27)</f>
        <v>G90 G49 G00 Z200. M5</v>
      </c>
      <c r="DF27" s="23" t="str">
        <f>CONCATENATE(IM53,IN53,IO53,IP53,IQ53,IR53,IS53,IT53,IU53,IV53,IW53,IX53,IY53,IZ53)</f>
        <v>G90 G00 Z0.313</v>
      </c>
      <c r="DG27" s="23" t="str">
        <f>$DE$24</f>
        <v>G00 G40 X0. Y3.375</v>
      </c>
      <c r="DH27" s="23" t="str">
        <f>$DF$24</f>
        <v>G00 G40 X0. Y3.375</v>
      </c>
      <c r="DI27" s="23" t="str">
        <f>$DE$21</f>
        <v>G02 X-4.063 Y-3.375 Z-0.313 R3,433</v>
      </c>
      <c r="DJ27" s="23" t="str">
        <f>$DF$21</f>
        <v>G02 X-3.84 Y-3.375 Z-0.313 R3,403</v>
      </c>
      <c r="DK27" s="375" t="str">
        <f t="shared" si="15"/>
        <v>G02 X0. Y0. Z-1.25 I-4.063 J0.</v>
      </c>
      <c r="DL27" s="375" t="str">
        <f t="shared" si="16"/>
        <v>G02 X0. Y0. Z-1.25 I-3.84 J0.</v>
      </c>
      <c r="DM27" s="375" t="str">
        <f>$DG$21</f>
        <v>G02 X0. Y0. Z-1.25 I-4.063 J0.</v>
      </c>
      <c r="DN27" s="375" t="str">
        <f t="shared" si="17"/>
        <v>G02 X0. Y0. Z-1.25 I-3.84 J0.</v>
      </c>
      <c r="DO27" s="375" t="str">
        <f>$DG$21</f>
        <v>G02 X0. Y0. Z-1.25 I-4.063 J0.</v>
      </c>
      <c r="DP27" s="375" t="str">
        <f t="shared" si="18"/>
        <v>G02 X0. Y0. Z-1.25 I-3.84 J0.</v>
      </c>
      <c r="DQ27" s="375" t="str">
        <f>$DG$21</f>
        <v>G02 X0. Y0. Z-1.25 I-4.063 J0.</v>
      </c>
      <c r="DR27" s="375" t="str">
        <f t="shared" si="19"/>
        <v>G02 X0. Y0. Z-1.25 I-3.84 J0.</v>
      </c>
      <c r="DS27" s="375" t="str">
        <f>$DG$21</f>
        <v>G02 X0. Y0. Z-1.25 I-4.063 J0.</v>
      </c>
      <c r="DT27" s="375" t="str">
        <f t="shared" si="20"/>
        <v>G02 X0. Y0. Z-1.25 I-3.84 J0.</v>
      </c>
      <c r="DU27" s="375" t="str">
        <f>$DG$21</f>
        <v>G02 X0. Y0. Z-1.25 I-4.063 J0.</v>
      </c>
      <c r="DV27" s="375" t="str">
        <f t="shared" si="21"/>
        <v>G02 X0. Y0. Z-1.25 I-3.84 J0.</v>
      </c>
      <c r="DW27" s="375" t="str">
        <f>$DG$21</f>
        <v>G02 X0. Y0. Z-1.25 I-4.063 J0.</v>
      </c>
      <c r="DX27" s="375" t="str">
        <f t="shared" si="22"/>
        <v>G02 X0. Y0. Z-1.25 I-3.84 J0.</v>
      </c>
      <c r="DY27" s="375" t="str">
        <f>$DG$21</f>
        <v>G02 X0. Y0. Z-1.25 I-4.063 J0.</v>
      </c>
      <c r="DZ27" s="375" t="str">
        <f t="shared" si="23"/>
        <v>G02 X0. Y0. Z-1.25 I-3.84 J0.</v>
      </c>
      <c r="EA27" s="375" t="str">
        <f>$DG$21</f>
        <v>G02 X0. Y0. Z-1.25 I-4.063 J0.</v>
      </c>
      <c r="EB27" s="375" t="str">
        <f t="shared" si="24"/>
        <v>G02 X0. Y0. Z-1.25 I-3.84 J0.</v>
      </c>
      <c r="EC27" s="375" t="str">
        <f>$DG$21</f>
        <v>G02 X0. Y0. Z-1.25 I-4.063 J0.</v>
      </c>
      <c r="ED27" s="375" t="str">
        <f t="shared" si="25"/>
        <v>G02 X0. Y0. Z-1.25 I-3.84 J0.</v>
      </c>
      <c r="EE27" s="375" t="str">
        <f>$DG$21</f>
        <v>G02 X0. Y0. Z-1.25 I-4.063 J0.</v>
      </c>
      <c r="EF27" s="375" t="str">
        <f t="shared" si="26"/>
        <v>G02 X0. Y0. Z-1.25 I-3.84 J0.</v>
      </c>
      <c r="EG27" s="23" t="str">
        <f>CONCATENATE(GH27,GI27,GJ27,GK27,GL27,GM27,GN27,GO27,GP27,GQ27,GR27,GS27)</f>
        <v>G03 X4.102 Y4.092 Z0.313 I0.01 J4.092</v>
      </c>
      <c r="EH27" s="23" t="str">
        <f>CONCATENATE(GV27,GW27,GX27,GY27,GZ27,HA27,HB27,HC27,HD27,HE27,HF27,HG27)</f>
        <v>G03 X3.88 Y3.87 Z0.313 I0.01 J3.87</v>
      </c>
      <c r="EI27" s="23" t="str">
        <f>BY21</f>
        <v>G03 X-4.063 Y3.375 Z0.313 R3,433</v>
      </c>
      <c r="EJ27" s="23" t="str">
        <f>BZ21</f>
        <v>G03 X-3.84 Y3.375 Z0.313 R3,403</v>
      </c>
      <c r="EK27" s="23" t="str">
        <f>EG21</f>
        <v>G03 X-4.082 Y-4.072 Z0.313 I-0.01 J-4.072</v>
      </c>
      <c r="EL27" s="23" t="str">
        <f>EH21</f>
        <v>G03 X-3.86 Y-3.85 Z0.313 I-0.01 J-3.85</v>
      </c>
      <c r="EM27" s="23" t="str">
        <f>CONCATENATE(HS27,HT27,HU27,HV27,HW27,HX27,HY27,HZ27,IA27,IB27,IC27,ID27,IE27,IF27)</f>
        <v>G00 G40 X3. Y0.</v>
      </c>
      <c r="EN27" s="26">
        <v>9</v>
      </c>
      <c r="EO27" s="14" t="s">
        <v>672</v>
      </c>
      <c r="EP27" s="14" t="s">
        <v>673</v>
      </c>
      <c r="EQ27" s="14" t="str">
        <f>SUBSTITUTE(EQ25,",",".")</f>
        <v>18.937</v>
      </c>
      <c r="ER27" s="14" t="str">
        <f>IF(EQ25=EQ26,".","")</f>
        <v/>
      </c>
      <c r="ES27" s="14"/>
      <c r="ET27" s="14"/>
      <c r="EU27" s="14"/>
      <c r="EV27" s="14"/>
      <c r="EW27" s="14"/>
      <c r="EX27" s="14"/>
      <c r="EY27" s="14"/>
      <c r="FC27" s="26">
        <v>9</v>
      </c>
      <c r="FD27" s="14" t="s">
        <v>672</v>
      </c>
      <c r="FE27" s="14" t="s">
        <v>673</v>
      </c>
      <c r="FF27" s="14" t="str">
        <f>SUBSTITUTE(FF25,",",".")</f>
        <v>-1.876</v>
      </c>
      <c r="FG27" s="14" t="str">
        <f>IF(FF25=FF26,".","")</f>
        <v/>
      </c>
      <c r="FH27" s="14"/>
      <c r="FI27" s="14"/>
      <c r="FJ27" s="14"/>
      <c r="FK27" s="14"/>
      <c r="FL27" s="14"/>
      <c r="FM27" s="14"/>
      <c r="FN27" s="14"/>
      <c r="FO27" s="16"/>
      <c r="FP27" s="16"/>
      <c r="FQ27" s="16"/>
      <c r="GG27" s="26">
        <v>9</v>
      </c>
      <c r="GH27" s="14" t="s">
        <v>675</v>
      </c>
      <c r="GI27" s="14" t="s">
        <v>674</v>
      </c>
      <c r="GJ27" s="14" t="str">
        <f>SUBSTITUTE(GJ25,",",".")</f>
        <v>4.102</v>
      </c>
      <c r="GK27" s="14" t="str">
        <f>IF(GJ25=GJ26,". Y"," Y")</f>
        <v xml:space="preserve"> Y</v>
      </c>
      <c r="GL27" s="14" t="str">
        <f>SUBSTITUTE(GL25,",",".")</f>
        <v>4.092</v>
      </c>
      <c r="GM27" s="14" t="str">
        <f>IF(GL25=GL26,". Z"," Z")</f>
        <v xml:space="preserve"> Z</v>
      </c>
      <c r="GN27" s="14" t="str">
        <f>SUBSTITUTE(GN25,",",".")</f>
        <v>0.313</v>
      </c>
      <c r="GO27" s="14" t="str">
        <f>IF(GN25=GN26,". I"," I")</f>
        <v xml:space="preserve"> I</v>
      </c>
      <c r="GP27" s="14" t="str">
        <f>SUBSTITUTE(GP25,",",".")</f>
        <v>0.01</v>
      </c>
      <c r="GQ27" s="14" t="str">
        <f>IF(GP25=GP26,". J"," J")</f>
        <v xml:space="preserve"> J</v>
      </c>
      <c r="GR27" s="14" t="str">
        <f>SUBSTITUTE(GR25,",",".")</f>
        <v>4.092</v>
      </c>
      <c r="GS27" s="14" t="str">
        <f>IF(GR25=GR26,".","")</f>
        <v/>
      </c>
      <c r="GU27" s="26">
        <v>9</v>
      </c>
      <c r="GV27" s="14" t="s">
        <v>675</v>
      </c>
      <c r="GW27" s="14" t="s">
        <v>674</v>
      </c>
      <c r="GX27" s="14" t="str">
        <f>SUBSTITUTE(GX25,",",".")</f>
        <v>3.88</v>
      </c>
      <c r="GY27" s="14" t="str">
        <f>IF(GX25=GX26,". Y"," Y")</f>
        <v xml:space="preserve"> Y</v>
      </c>
      <c r="GZ27" s="14" t="str">
        <f>SUBSTITUTE(GZ25,",",".")</f>
        <v>3.87</v>
      </c>
      <c r="HA27" s="14" t="str">
        <f>IF(GZ25=GZ26,". Z"," Z")</f>
        <v xml:space="preserve"> Z</v>
      </c>
      <c r="HB27" s="14" t="str">
        <f>SUBSTITUTE(HB25,",",".")</f>
        <v>0.313</v>
      </c>
      <c r="HC27" s="14" t="str">
        <f>IF(HB25=HB26,". I"," I")</f>
        <v xml:space="preserve"> I</v>
      </c>
      <c r="HD27" s="14" t="str">
        <f>SUBSTITUTE(HD25,",",".")</f>
        <v>0.01</v>
      </c>
      <c r="HE27" s="14" t="str">
        <f>IF(HD25=HD26,". J"," J")</f>
        <v xml:space="preserve"> J</v>
      </c>
      <c r="HF27" s="14" t="str">
        <f>SUBSTITUTE(HF25,",",".")</f>
        <v>3.87</v>
      </c>
      <c r="HG27" s="14" t="str">
        <f>IF(HF25=HF26,".","")</f>
        <v/>
      </c>
      <c r="HI27" s="26"/>
      <c r="HJ27" s="14"/>
      <c r="HK27" s="14"/>
      <c r="HL27" s="14"/>
      <c r="HM27" s="14"/>
      <c r="HN27" s="14"/>
      <c r="HO27" s="14"/>
      <c r="HP27" s="14"/>
      <c r="HQ27" s="14"/>
      <c r="HR27" s="26">
        <v>9</v>
      </c>
      <c r="HS27" s="14" t="s">
        <v>1355</v>
      </c>
      <c r="HT27" s="14" t="s">
        <v>671</v>
      </c>
      <c r="HU27" s="14" t="s">
        <v>674</v>
      </c>
      <c r="HV27" s="14" t="str">
        <f>SUBSTITUTE(HV25,",",".")</f>
        <v>3</v>
      </c>
      <c r="HW27" s="14" t="str">
        <f>IF(HV25=HV26,". Y"," Y")</f>
        <v>. Y</v>
      </c>
      <c r="HX27" s="14">
        <v>0</v>
      </c>
      <c r="HY27" s="14" t="str">
        <f>IF(HX25=HX26,".","")</f>
        <v>.</v>
      </c>
      <c r="HZ27" s="14"/>
      <c r="IA27" s="14"/>
      <c r="ID27" s="16"/>
      <c r="IE27" s="16"/>
      <c r="IF27" s="16"/>
      <c r="IG27" s="26">
        <v>9</v>
      </c>
      <c r="IH27" s="14" t="s">
        <v>672</v>
      </c>
      <c r="II27" s="14" t="s">
        <v>673</v>
      </c>
      <c r="IJ27" s="14" t="str">
        <f>SUBSTITUTE(IJ25,",",".")</f>
        <v>-16.875</v>
      </c>
      <c r="IK27" s="14" t="str">
        <f>IF(IJ25=IJ26,".","")</f>
        <v/>
      </c>
      <c r="IL27" s="26">
        <v>9</v>
      </c>
      <c r="IM27" s="14" t="s">
        <v>446</v>
      </c>
      <c r="IN27" s="14" t="s">
        <v>872</v>
      </c>
      <c r="IO27" s="14"/>
      <c r="IP27" s="14" t="s">
        <v>1752</v>
      </c>
      <c r="IQ27" s="14" t="s">
        <v>181</v>
      </c>
      <c r="IR27" s="14" t="str">
        <f>SUBSTITUTE(IR25,",",".")</f>
        <v>200</v>
      </c>
      <c r="IS27" s="418" t="str">
        <f>IF(BT5&gt;1,". D0",". M5")</f>
        <v>. M5</v>
      </c>
      <c r="IT27" s="14"/>
      <c r="IU27" s="14"/>
      <c r="IV27" s="14"/>
      <c r="IW27" s="14"/>
      <c r="IX27" s="16"/>
      <c r="IY27" s="16"/>
      <c r="IZ27" s="16"/>
    </row>
    <row r="28" spans="1:260" ht="15.95" customHeight="1">
      <c r="A28" s="390"/>
      <c r="B28" s="394" t="str">
        <f>I75</f>
        <v>N = spindle speed (rpm)</v>
      </c>
      <c r="C28" s="410">
        <f>ROUND(BE5*1000/(3.141592654*BE13),0)</f>
        <v>4244</v>
      </c>
      <c r="D28" s="391"/>
      <c r="E28" s="390"/>
      <c r="F28" s="391"/>
      <c r="G28" s="384" t="str">
        <f>IF(BW78=0,"",BW78)</f>
        <v/>
      </c>
      <c r="H28" t="s">
        <v>1317</v>
      </c>
      <c r="I28" s="5" t="str">
        <f t="shared" si="27"/>
        <v>Steel, Medium Carbon, &lt; 0,55% C, &lt; 700 N/mm2</v>
      </c>
      <c r="J28" s="5" t="s">
        <v>1396</v>
      </c>
      <c r="K28" s="5" t="s">
        <v>1384</v>
      </c>
      <c r="L28" s="40" t="s">
        <v>860</v>
      </c>
      <c r="M28" s="5" t="s">
        <v>269</v>
      </c>
      <c r="N28" s="5" t="s">
        <v>764</v>
      </c>
      <c r="O28" s="5" t="s">
        <v>643</v>
      </c>
      <c r="P28" s="5" t="s">
        <v>1067</v>
      </c>
      <c r="Q28" s="5" t="s">
        <v>1124</v>
      </c>
      <c r="R28" s="5" t="s">
        <v>508</v>
      </c>
      <c r="S28" s="5" t="s">
        <v>1260</v>
      </c>
      <c r="T28" s="5" t="s">
        <v>498</v>
      </c>
      <c r="U28" s="5" t="s">
        <v>684</v>
      </c>
      <c r="V28" s="5" t="s">
        <v>316</v>
      </c>
      <c r="W28" s="5" t="s">
        <v>661</v>
      </c>
      <c r="X28" s="38" t="s">
        <v>484</v>
      </c>
      <c r="Y28" s="43" t="s">
        <v>1805</v>
      </c>
      <c r="Z28" s="39" t="s">
        <v>1806</v>
      </c>
      <c r="AA28" s="417" t="s">
        <v>1807</v>
      </c>
      <c r="AB28" s="5" t="s">
        <v>258</v>
      </c>
      <c r="AD28" s="131">
        <v>27</v>
      </c>
      <c r="AE28" s="365">
        <v>1</v>
      </c>
      <c r="AF28" s="365">
        <v>3</v>
      </c>
      <c r="AG28" s="365">
        <v>1</v>
      </c>
      <c r="AH28" s="366" t="s">
        <v>1702</v>
      </c>
      <c r="AI28" s="352">
        <v>6</v>
      </c>
      <c r="AJ28" s="353">
        <v>2.4</v>
      </c>
      <c r="AK28" s="354">
        <v>3</v>
      </c>
      <c r="AL28" s="355">
        <v>0.5</v>
      </c>
      <c r="AM28" s="356">
        <v>6.3</v>
      </c>
      <c r="AN28" s="357">
        <v>57</v>
      </c>
      <c r="AO28" s="349">
        <v>2.8</v>
      </c>
      <c r="AP28" s="55">
        <f t="shared" si="0"/>
        <v>27</v>
      </c>
      <c r="AQ28" s="16">
        <f t="shared" si="1"/>
        <v>27</v>
      </c>
      <c r="AR28" s="16" t="b">
        <f t="shared" si="2"/>
        <v>0</v>
      </c>
      <c r="AS28" s="16" t="b">
        <f t="shared" si="3"/>
        <v>0</v>
      </c>
      <c r="AT28" s="16">
        <f t="shared" si="4"/>
        <v>27</v>
      </c>
      <c r="AU28" s="16" t="b">
        <f t="shared" si="5"/>
        <v>0</v>
      </c>
      <c r="BA28" s="61">
        <v>26</v>
      </c>
      <c r="BB28" s="157">
        <v>170</v>
      </c>
      <c r="BC28" s="158">
        <v>0.06</v>
      </c>
      <c r="BD28" s="158">
        <v>0.08</v>
      </c>
      <c r="BE28" s="74"/>
      <c r="BF28" s="379">
        <f>IF(BT8=1000,BF27,BF26)</f>
        <v>2.5000000000000001E-2</v>
      </c>
      <c r="BH28" s="11"/>
      <c r="BI28" s="10"/>
      <c r="BK28" s="74" t="s">
        <v>756</v>
      </c>
      <c r="BL28" s="232">
        <f>IF(BL25&gt;=10,BL27,BL26)</f>
        <v>65</v>
      </c>
      <c r="BM28" s="65"/>
      <c r="BO28" s="7"/>
      <c r="BP28" s="18"/>
      <c r="BS28" s="14">
        <v>1001022</v>
      </c>
      <c r="BT28" s="14">
        <f t="shared" si="13"/>
        <v>0</v>
      </c>
      <c r="BV28" s="8"/>
      <c r="CM28" s="375"/>
      <c r="CN28" s="375"/>
      <c r="CO28" s="375"/>
      <c r="CP28" s="375"/>
      <c r="CQ28" s="375"/>
      <c r="CR28" s="375"/>
      <c r="CS28" s="375"/>
      <c r="CT28" s="375"/>
      <c r="CU28" s="375"/>
      <c r="CV28" s="375"/>
      <c r="CW28" s="375"/>
      <c r="CX28" s="375"/>
      <c r="CY28" s="375"/>
      <c r="CZ28" s="375"/>
      <c r="DA28" s="375"/>
      <c r="DB28" s="375"/>
      <c r="DC28" s="375"/>
      <c r="DD28" s="375"/>
      <c r="DF28" s="375"/>
      <c r="DH28" s="375"/>
      <c r="DL28" s="375"/>
      <c r="DM28" s="375"/>
      <c r="DN28" s="375"/>
      <c r="DO28" s="375"/>
      <c r="DP28" s="375"/>
      <c r="DQ28" s="375"/>
      <c r="DR28" s="375"/>
      <c r="DS28" s="375"/>
      <c r="DT28" s="375"/>
      <c r="DU28" s="375"/>
      <c r="DV28" s="375"/>
      <c r="DW28" s="375"/>
      <c r="DX28" s="375"/>
      <c r="DY28" s="375"/>
      <c r="DZ28" s="375"/>
      <c r="EA28" s="375"/>
      <c r="EB28" s="375"/>
      <c r="EC28" s="375"/>
      <c r="ED28" s="375"/>
      <c r="EE28" s="375"/>
      <c r="EF28" s="375"/>
      <c r="EN28" s="26"/>
      <c r="EO28" s="14"/>
      <c r="EP28" s="14"/>
      <c r="EQ28" s="14"/>
      <c r="ER28" s="14"/>
      <c r="ES28" s="14"/>
      <c r="ET28" s="14">
        <v>200</v>
      </c>
      <c r="EU28" s="14"/>
      <c r="EV28" s="14"/>
      <c r="EW28" s="14"/>
      <c r="EX28" s="14"/>
      <c r="EY28" s="14"/>
      <c r="FC28" s="26"/>
      <c r="FD28" s="14"/>
      <c r="FE28" s="14"/>
      <c r="FF28" s="14"/>
      <c r="FG28" s="14"/>
      <c r="FH28" s="14"/>
      <c r="FI28" s="14"/>
      <c r="FJ28" s="14"/>
      <c r="FK28" s="14"/>
      <c r="FL28" s="14"/>
      <c r="FM28" s="14"/>
      <c r="FN28" s="14"/>
      <c r="FO28" s="14"/>
      <c r="FP28" s="14"/>
      <c r="FQ28" s="14"/>
      <c r="GI28" s="423"/>
      <c r="GJ28" s="423">
        <f>-GJ25</f>
        <v>-4.1019999999999994</v>
      </c>
      <c r="GK28" s="423"/>
      <c r="GL28" s="425">
        <f>ES19</f>
        <v>3.375</v>
      </c>
      <c r="GM28" s="423"/>
      <c r="GN28" s="423">
        <f>GN16</f>
        <v>0.313</v>
      </c>
      <c r="GO28" s="423"/>
      <c r="GP28" s="423"/>
      <c r="GQ28" s="423"/>
      <c r="GR28" s="423"/>
      <c r="GS28" s="423"/>
      <c r="GX28" s="103">
        <f>-GX25</f>
        <v>-3.8799999999999994</v>
      </c>
      <c r="GY28" s="103"/>
      <c r="GZ28" s="101">
        <f>FH19</f>
        <v>3.375</v>
      </c>
      <c r="HA28" s="103"/>
      <c r="HB28" s="103">
        <f>HB16</f>
        <v>0.313</v>
      </c>
      <c r="HC28" s="103"/>
      <c r="HD28" s="103"/>
      <c r="HI28" s="26"/>
      <c r="HJ28" s="14"/>
      <c r="HK28" s="14"/>
      <c r="HL28" s="14"/>
      <c r="HM28" s="14"/>
      <c r="HN28" s="14"/>
      <c r="HO28" s="14"/>
      <c r="HP28" s="14"/>
      <c r="HQ28" s="14"/>
      <c r="HR28" s="26"/>
      <c r="HS28" s="14"/>
      <c r="HT28" s="14"/>
      <c r="HU28" s="101">
        <f>-HV7-HV10-HY16-HY19-HY22</f>
        <v>19.960999999999999</v>
      </c>
      <c r="HV28" s="14"/>
      <c r="HW28" s="14"/>
      <c r="HX28" s="14"/>
      <c r="HY28" s="14"/>
      <c r="HZ28" s="14"/>
      <c r="IA28" s="14"/>
      <c r="IG28" s="26"/>
      <c r="IH28" s="14"/>
      <c r="II28" s="14"/>
      <c r="IJ28" s="14"/>
      <c r="IK28" s="14"/>
      <c r="IL28" s="26"/>
      <c r="IM28" s="14"/>
      <c r="IN28" s="14"/>
      <c r="IO28" s="14"/>
      <c r="IP28" s="14"/>
      <c r="IQ28" s="14"/>
      <c r="IR28" s="14"/>
      <c r="IS28" s="14"/>
      <c r="IT28" s="14"/>
      <c r="IU28" s="14"/>
      <c r="IV28" s="14"/>
      <c r="IW28" s="14"/>
      <c r="IX28" s="14"/>
      <c r="IY28" s="14"/>
      <c r="IZ28" s="14"/>
    </row>
    <row r="29" spans="1:260" ht="15.95" customHeight="1">
      <c r="A29" s="390"/>
      <c r="B29" s="394" t="str">
        <f>I76</f>
        <v>FD = feed at thread diameter (mm/min)</v>
      </c>
      <c r="C29" s="411">
        <f>ROUND(BF31*BE15*C28,0)</f>
        <v>318</v>
      </c>
      <c r="D29" s="391"/>
      <c r="E29" s="390"/>
      <c r="F29" s="391"/>
      <c r="G29" s="384" t="str">
        <f>IF(BW81=0,"",BW81)</f>
        <v/>
      </c>
      <c r="H29" t="s">
        <v>1316</v>
      </c>
      <c r="I29" s="5" t="str">
        <f t="shared" si="27"/>
        <v>Steel, High Carbon, &lt; 0,85% C, &lt; 850 N/mm2</v>
      </c>
      <c r="J29" s="5" t="s">
        <v>752</v>
      </c>
      <c r="K29" s="5" t="s">
        <v>700</v>
      </c>
      <c r="L29" s="40" t="s">
        <v>864</v>
      </c>
      <c r="M29" s="5" t="s">
        <v>271</v>
      </c>
      <c r="N29" s="5" t="s">
        <v>715</v>
      </c>
      <c r="O29" s="5" t="s">
        <v>1250</v>
      </c>
      <c r="P29" s="5" t="s">
        <v>1134</v>
      </c>
      <c r="Q29" s="5" t="s">
        <v>372</v>
      </c>
      <c r="R29" s="5" t="s">
        <v>509</v>
      </c>
      <c r="S29" s="5" t="s">
        <v>1261</v>
      </c>
      <c r="T29" s="5" t="s">
        <v>510</v>
      </c>
      <c r="U29" s="5" t="s">
        <v>1277</v>
      </c>
      <c r="V29" s="5" t="s">
        <v>317</v>
      </c>
      <c r="W29" s="5" t="s">
        <v>789</v>
      </c>
      <c r="X29" s="38" t="s">
        <v>460</v>
      </c>
      <c r="Y29" s="43" t="s">
        <v>1808</v>
      </c>
      <c r="Z29" s="39" t="s">
        <v>1809</v>
      </c>
      <c r="AA29" s="417" t="s">
        <v>1810</v>
      </c>
      <c r="AB29" s="5" t="s">
        <v>259</v>
      </c>
      <c r="AD29" s="131">
        <v>28</v>
      </c>
      <c r="AE29" s="365">
        <v>1</v>
      </c>
      <c r="AF29" s="365">
        <v>3</v>
      </c>
      <c r="AG29" s="365">
        <v>1</v>
      </c>
      <c r="AH29" s="366" t="s">
        <v>1703</v>
      </c>
      <c r="AI29" s="352">
        <v>6</v>
      </c>
      <c r="AJ29" s="353">
        <v>1.96</v>
      </c>
      <c r="AK29" s="354">
        <v>3</v>
      </c>
      <c r="AL29" s="355">
        <v>0.45</v>
      </c>
      <c r="AM29" s="356">
        <v>5.3</v>
      </c>
      <c r="AN29" s="357">
        <v>57</v>
      </c>
      <c r="AO29" s="349">
        <v>2.4</v>
      </c>
      <c r="AP29" s="55">
        <f t="shared" si="0"/>
        <v>28</v>
      </c>
      <c r="AQ29" s="16">
        <f t="shared" si="1"/>
        <v>28</v>
      </c>
      <c r="AR29" s="16" t="b">
        <f t="shared" si="2"/>
        <v>0</v>
      </c>
      <c r="AS29" s="16" t="b">
        <f t="shared" si="3"/>
        <v>0</v>
      </c>
      <c r="AT29" s="16">
        <f t="shared" si="4"/>
        <v>28</v>
      </c>
      <c r="AU29" s="16" t="b">
        <f t="shared" si="5"/>
        <v>0</v>
      </c>
      <c r="BA29" s="61">
        <v>27</v>
      </c>
      <c r="BB29" s="157">
        <v>150</v>
      </c>
      <c r="BC29" s="158">
        <v>0.04</v>
      </c>
      <c r="BD29" s="158">
        <v>0.06</v>
      </c>
      <c r="BE29" s="74" t="s">
        <v>763</v>
      </c>
      <c r="BF29" s="67">
        <f>IF(D20&gt;0,D20,C20)</f>
        <v>1</v>
      </c>
      <c r="BH29" s="147" t="s">
        <v>1249</v>
      </c>
      <c r="BI29" s="148">
        <v>1</v>
      </c>
      <c r="BK29" s="74" t="s">
        <v>772</v>
      </c>
      <c r="BL29" s="80">
        <f>ROUND(IF(BP42&gt;2,BL28,BL23),0)</f>
        <v>8</v>
      </c>
      <c r="BM29" s="65"/>
      <c r="BS29" s="14">
        <v>1001032</v>
      </c>
      <c r="BT29" s="14">
        <f t="shared" si="13"/>
        <v>0</v>
      </c>
      <c r="BV29" s="8"/>
      <c r="CM29" s="375"/>
      <c r="CN29" s="375"/>
      <c r="CO29" s="375"/>
      <c r="CP29" s="375"/>
      <c r="CQ29" s="375"/>
      <c r="CR29" s="375"/>
      <c r="CS29" s="375"/>
      <c r="CT29" s="375"/>
      <c r="CU29" s="375"/>
      <c r="CV29" s="375"/>
      <c r="CW29" s="375"/>
      <c r="CX29" s="375"/>
      <c r="CY29" s="375"/>
      <c r="CZ29" s="375"/>
      <c r="DA29" s="375"/>
      <c r="DB29" s="375"/>
      <c r="DC29" s="375"/>
      <c r="DD29" s="375"/>
      <c r="DF29" s="375"/>
      <c r="DH29" s="375"/>
      <c r="DL29" s="375"/>
      <c r="DM29" s="375"/>
      <c r="DN29" s="375"/>
      <c r="DO29" s="375"/>
      <c r="DP29" s="375"/>
      <c r="DQ29" s="375"/>
      <c r="DR29" s="375"/>
      <c r="DS29" s="375"/>
      <c r="DT29" s="375"/>
      <c r="DU29" s="375"/>
      <c r="DV29" s="375"/>
      <c r="DW29" s="375"/>
      <c r="DX29" s="375"/>
      <c r="DY29" s="375"/>
      <c r="DZ29" s="375"/>
      <c r="EA29" s="375"/>
      <c r="EB29" s="375"/>
      <c r="EC29" s="375"/>
      <c r="ED29" s="375"/>
      <c r="EE29" s="375"/>
      <c r="EF29" s="375"/>
      <c r="EN29" s="26"/>
      <c r="EO29" s="14"/>
      <c r="EP29" s="14"/>
      <c r="EQ29" s="14"/>
      <c r="ER29" s="14"/>
      <c r="ES29" s="14"/>
      <c r="ET29" s="14">
        <f>INT(ET28)</f>
        <v>200</v>
      </c>
      <c r="EU29" s="14"/>
      <c r="EV29" s="14"/>
      <c r="EW29" s="14"/>
      <c r="EX29" s="14"/>
      <c r="EY29" s="14"/>
      <c r="FC29" s="24"/>
      <c r="FD29" s="14"/>
      <c r="FE29" s="14"/>
      <c r="FF29" s="14"/>
      <c r="FG29" s="14"/>
      <c r="FH29" s="14"/>
      <c r="FI29" s="14"/>
      <c r="FJ29" s="14"/>
      <c r="FK29" s="14"/>
      <c r="FL29" s="14"/>
      <c r="FM29" s="14"/>
      <c r="FN29" s="14"/>
      <c r="FO29" s="14"/>
      <c r="FP29" s="14"/>
      <c r="FQ29" s="14"/>
      <c r="GH29"/>
      <c r="GI29" s="426"/>
      <c r="GJ29" s="424">
        <f>INT(GJ28)</f>
        <v>-5</v>
      </c>
      <c r="GK29" s="426"/>
      <c r="GL29" s="424">
        <f>INT(GL28)</f>
        <v>3</v>
      </c>
      <c r="GM29" s="426"/>
      <c r="GN29" s="424">
        <f>INT(GN28)</f>
        <v>0</v>
      </c>
      <c r="GO29" s="426"/>
      <c r="GP29" s="424"/>
      <c r="GQ29" s="423"/>
      <c r="GR29" s="423"/>
      <c r="GS29" s="423"/>
      <c r="GV29"/>
      <c r="GW29"/>
      <c r="GX29" s="102">
        <f>INT(GX28)</f>
        <v>-4</v>
      </c>
      <c r="GY29" s="104"/>
      <c r="GZ29" s="102">
        <f>INT(GZ28)</f>
        <v>3</v>
      </c>
      <c r="HA29" s="104"/>
      <c r="HB29" s="102">
        <f>INT(HB28)</f>
        <v>0</v>
      </c>
      <c r="HC29" s="104"/>
      <c r="HD29" s="102"/>
      <c r="HI29" s="26"/>
      <c r="HJ29" s="14"/>
      <c r="HK29" s="14"/>
      <c r="HL29" s="14"/>
      <c r="HM29" s="14"/>
      <c r="HN29" s="14"/>
      <c r="HO29" s="14"/>
      <c r="HP29" s="14"/>
      <c r="HQ29" s="14"/>
      <c r="HR29" s="26"/>
      <c r="HU29" s="102">
        <f>INT(HU28)</f>
        <v>19</v>
      </c>
      <c r="IA29"/>
      <c r="IG29" s="24"/>
      <c r="IH29" s="14"/>
      <c r="II29" s="14"/>
      <c r="IJ29" s="14"/>
      <c r="IK29" s="14"/>
      <c r="IL29" s="24"/>
      <c r="IM29" s="14"/>
      <c r="IN29" s="14"/>
      <c r="IO29" s="14"/>
      <c r="IP29" s="14"/>
      <c r="IQ29" s="14"/>
      <c r="IR29" s="14"/>
      <c r="IS29" s="14"/>
      <c r="IT29" s="14"/>
      <c r="IU29" s="14"/>
      <c r="IV29" s="14"/>
      <c r="IW29" s="14"/>
      <c r="IX29" s="14"/>
      <c r="IY29" s="14"/>
      <c r="IZ29" s="14"/>
    </row>
    <row r="30" spans="1:260" ht="15.95" customHeight="1">
      <c r="A30" s="390"/>
      <c r="B30" s="394" t="str">
        <f>I77</f>
        <v>Fd = feed in center of mill (mm/min)</v>
      </c>
      <c r="C30" s="406">
        <f>ROUND(C29*(C9-BE13)/C9,0)</f>
        <v>80</v>
      </c>
      <c r="D30" s="391"/>
      <c r="E30" s="390"/>
      <c r="F30" s="391"/>
      <c r="G30" s="384" t="str">
        <f>IF(BW84=0,"",BW84)</f>
        <v/>
      </c>
      <c r="H30" s="86" t="s">
        <v>121</v>
      </c>
      <c r="I30" s="5" t="str">
        <f t="shared" si="27"/>
        <v>Steel, Low Alloy, &lt; 850 N/mm2</v>
      </c>
      <c r="J30" s="5" t="s">
        <v>1404</v>
      </c>
      <c r="K30" s="5" t="s">
        <v>1395</v>
      </c>
      <c r="L30" s="40" t="s">
        <v>868</v>
      </c>
      <c r="M30" s="5" t="s">
        <v>272</v>
      </c>
      <c r="N30" s="5" t="s">
        <v>716</v>
      </c>
      <c r="O30" s="5" t="s">
        <v>1251</v>
      </c>
      <c r="P30" s="5" t="s">
        <v>1135</v>
      </c>
      <c r="Q30" s="5" t="s">
        <v>373</v>
      </c>
      <c r="R30" s="5" t="s">
        <v>405</v>
      </c>
      <c r="S30" s="5" t="s">
        <v>23</v>
      </c>
      <c r="T30" s="5" t="s">
        <v>511</v>
      </c>
      <c r="U30" s="5" t="s">
        <v>1278</v>
      </c>
      <c r="V30" s="5" t="s">
        <v>318</v>
      </c>
      <c r="W30" s="5" t="s">
        <v>604</v>
      </c>
      <c r="X30" s="38" t="s">
        <v>461</v>
      </c>
      <c r="Y30" s="43" t="s">
        <v>1811</v>
      </c>
      <c r="Z30" s="39" t="s">
        <v>1812</v>
      </c>
      <c r="AA30" s="417" t="s">
        <v>1813</v>
      </c>
      <c r="AB30" s="5" t="s">
        <v>260</v>
      </c>
      <c r="AD30" s="131">
        <v>29</v>
      </c>
      <c r="AE30" s="365">
        <v>1</v>
      </c>
      <c r="AF30" s="365">
        <v>3</v>
      </c>
      <c r="AG30" s="365">
        <v>1</v>
      </c>
      <c r="AH30" s="366" t="s">
        <v>1704</v>
      </c>
      <c r="AI30" s="352">
        <v>6</v>
      </c>
      <c r="AJ30" s="353">
        <v>1.66</v>
      </c>
      <c r="AK30" s="354">
        <v>3</v>
      </c>
      <c r="AL30" s="355">
        <v>0.45</v>
      </c>
      <c r="AM30" s="356">
        <v>4.5999999999999996</v>
      </c>
      <c r="AN30" s="357">
        <v>57</v>
      </c>
      <c r="AO30" s="349">
        <v>2.1</v>
      </c>
      <c r="AP30" s="55">
        <f t="shared" si="0"/>
        <v>29</v>
      </c>
      <c r="AQ30" s="16">
        <f t="shared" si="1"/>
        <v>29</v>
      </c>
      <c r="AR30" s="16" t="b">
        <f t="shared" si="2"/>
        <v>0</v>
      </c>
      <c r="AS30" s="16" t="b">
        <f t="shared" si="3"/>
        <v>0</v>
      </c>
      <c r="AT30" s="16">
        <f t="shared" si="4"/>
        <v>29</v>
      </c>
      <c r="AU30" s="16" t="b">
        <f t="shared" si="5"/>
        <v>0</v>
      </c>
      <c r="BA30" s="61">
        <v>28</v>
      </c>
      <c r="BB30" s="157">
        <v>120</v>
      </c>
      <c r="BC30" s="158">
        <v>0.03</v>
      </c>
      <c r="BD30" s="158">
        <v>0.05</v>
      </c>
      <c r="BE30" s="76"/>
      <c r="BF30" s="65"/>
      <c r="BH30" s="11"/>
      <c r="BI30" s="10"/>
      <c r="BK30" s="69"/>
      <c r="BL30" s="70"/>
      <c r="BM30" s="71"/>
      <c r="BO30" s="7"/>
      <c r="BS30" s="14">
        <v>1010012</v>
      </c>
      <c r="BT30" s="14">
        <f t="shared" si="13"/>
        <v>0</v>
      </c>
      <c r="BV30" s="8">
        <v>10</v>
      </c>
      <c r="BW30" s="54" t="str">
        <f>LOOKUP(BT$54,BX$2:EM$2,BX30:EM30)</f>
        <v>G90 G49 G00 Z200. M5</v>
      </c>
      <c r="BY30" s="23" t="str">
        <f t="shared" si="11"/>
        <v>G90 G49 G00 Z200. M5</v>
      </c>
      <c r="BZ30" s="23" t="str">
        <f>BY12</f>
        <v>G41 D10 X0. Y-3,375 F40</v>
      </c>
      <c r="CA30" s="23" t="str">
        <f>BY21</f>
        <v>G03 X-4.063 Y3.375 Z0.313 R3,433</v>
      </c>
      <c r="CB30" s="23" t="str">
        <f>BZ21</f>
        <v>G03 X-3.84 Y3.375 Z0.313 R3,403</v>
      </c>
      <c r="CC30" s="4" t="str">
        <f>CA39</f>
        <v>#2=#2+1</v>
      </c>
      <c r="CD30" s="23" t="str">
        <f>CC30</f>
        <v>#2=#2+1</v>
      </c>
      <c r="CE30" s="23" t="str">
        <f>BY33</f>
        <v>M30</v>
      </c>
      <c r="CF30" s="23" t="str">
        <f>BZ30</f>
        <v>G41 D10 X0. Y-3,375 F40</v>
      </c>
      <c r="CG30" s="23" t="str">
        <f>CE27</f>
        <v>G90 G49 G00 Z200. M5</v>
      </c>
      <c r="CH30" s="23" t="str">
        <f>$CF$27</f>
        <v>G00 Z-16.875</v>
      </c>
      <c r="CI30" s="23" t="str">
        <f>CG27</f>
        <v>G00 G40 X0. Y-3.375</v>
      </c>
      <c r="CJ30" s="23" t="str">
        <f>$CF$24</f>
        <v>G00 G40 X0. Y-3.375</v>
      </c>
      <c r="CK30" s="23" t="str">
        <f>CG24</f>
        <v>G03 X-4.063 Y3.375 Z0.313 R3,433</v>
      </c>
      <c r="CL30" s="23" t="str">
        <f>$CF$21</f>
        <v>G03 X-3.84 Y3.375 Z0.313 R3,403</v>
      </c>
      <c r="CM30" s="375" t="str">
        <f>CG21</f>
        <v>G03 X0. Y0. Z1.25 I-4.063 J0.</v>
      </c>
      <c r="CN30" s="375" t="str">
        <f>$CH$21</f>
        <v>G03 X0. Y0. Z1.25 I-3.84 J0.</v>
      </c>
      <c r="CO30" s="375" t="str">
        <f>CG21</f>
        <v>G03 X0. Y0. Z1.25 I-4.063 J0.</v>
      </c>
      <c r="CP30" s="375" t="str">
        <f>$CH$21</f>
        <v>G03 X0. Y0. Z1.25 I-3.84 J0.</v>
      </c>
      <c r="CQ30" s="375" t="str">
        <f>CG21</f>
        <v>G03 X0. Y0. Z1.25 I-4.063 J0.</v>
      </c>
      <c r="CR30" s="375" t="str">
        <f>$CH$21</f>
        <v>G03 X0. Y0. Z1.25 I-3.84 J0.</v>
      </c>
      <c r="CS30" s="375" t="str">
        <f>$CG$21</f>
        <v>G03 X0. Y0. Z1.25 I-4.063 J0.</v>
      </c>
      <c r="CT30" s="375" t="str">
        <f>$CH$21</f>
        <v>G03 X0. Y0. Z1.25 I-3.84 J0.</v>
      </c>
      <c r="CU30" s="375" t="str">
        <f>$CG$21</f>
        <v>G03 X0. Y0. Z1.25 I-4.063 J0.</v>
      </c>
      <c r="CV30" s="375" t="str">
        <f>$CH$21</f>
        <v>G03 X0. Y0. Z1.25 I-3.84 J0.</v>
      </c>
      <c r="CW30" s="375" t="str">
        <f>$CG$21</f>
        <v>G03 X0. Y0. Z1.25 I-4.063 J0.</v>
      </c>
      <c r="CX30" s="375" t="str">
        <f>$CH$21</f>
        <v>G03 X0. Y0. Z1.25 I-3.84 J0.</v>
      </c>
      <c r="CY30" s="375" t="str">
        <f>$CG$21</f>
        <v>G03 X0. Y0. Z1.25 I-4.063 J0.</v>
      </c>
      <c r="CZ30" s="375" t="str">
        <f>$CH$21</f>
        <v>G03 X0. Y0. Z1.25 I-3.84 J0.</v>
      </c>
      <c r="DA30" s="375" t="str">
        <f>$CG$21</f>
        <v>G03 X0. Y0. Z1.25 I-4.063 J0.</v>
      </c>
      <c r="DB30" s="375" t="str">
        <f>$CH$21</f>
        <v>G03 X0. Y0. Z1.25 I-3.84 J0.</v>
      </c>
      <c r="DC30" s="375" t="str">
        <f>$CG$21</f>
        <v>G03 X0. Y0. Z1.25 I-4.063 J0.</v>
      </c>
      <c r="DD30" s="375" t="str">
        <f>$CH$21</f>
        <v>G03 X0. Y0. Z1.25 I-3.84 J0.</v>
      </c>
      <c r="DE30" s="23" t="str">
        <f>CONCATENATE(IM30,IN30,IO30,IP30,IQ30,IR30,IS30,IT30,IU30,IV30,IW30,IX30,IY30,IZ30)</f>
        <v>M30</v>
      </c>
      <c r="DF30" s="23" t="str">
        <f>DE12</f>
        <v>G91 G42 D10 X0. Y3,375 F40</v>
      </c>
      <c r="DG30" s="23" t="str">
        <f>$DE$27</f>
        <v>G90 G49 G00 Z200. M5</v>
      </c>
      <c r="DH30" s="23" t="str">
        <f>$DF$27</f>
        <v>G90 G00 Z0.313</v>
      </c>
      <c r="DI30" s="23" t="str">
        <f>$DE$24</f>
        <v>G00 G40 X0. Y3.375</v>
      </c>
      <c r="DJ30" s="23" t="str">
        <f>$DF$24</f>
        <v>G00 G40 X0. Y3.375</v>
      </c>
      <c r="DK30" s="23" t="str">
        <f>$DE$21</f>
        <v>G02 X-4.063 Y-3.375 Z-0.313 R3,433</v>
      </c>
      <c r="DL30" s="23" t="str">
        <f>$DF$21</f>
        <v>G02 X-3.84 Y-3.375 Z-0.313 R3,403</v>
      </c>
      <c r="DM30" s="375" t="str">
        <f>$DG$21</f>
        <v>G02 X0. Y0. Z-1.25 I-4.063 J0.</v>
      </c>
      <c r="DN30" s="375" t="str">
        <f t="shared" si="17"/>
        <v>G02 X0. Y0. Z-1.25 I-3.84 J0.</v>
      </c>
      <c r="DO30" s="375" t="str">
        <f>$DG$21</f>
        <v>G02 X0. Y0. Z-1.25 I-4.063 J0.</v>
      </c>
      <c r="DP30" s="375" t="str">
        <f t="shared" si="18"/>
        <v>G02 X0. Y0. Z-1.25 I-3.84 J0.</v>
      </c>
      <c r="DQ30" s="375" t="str">
        <f>$DG$21</f>
        <v>G02 X0. Y0. Z-1.25 I-4.063 J0.</v>
      </c>
      <c r="DR30" s="375" t="str">
        <f t="shared" si="19"/>
        <v>G02 X0. Y0. Z-1.25 I-3.84 J0.</v>
      </c>
      <c r="DS30" s="375" t="str">
        <f>$DG$21</f>
        <v>G02 X0. Y0. Z-1.25 I-4.063 J0.</v>
      </c>
      <c r="DT30" s="375" t="str">
        <f t="shared" si="20"/>
        <v>G02 X0. Y0. Z-1.25 I-3.84 J0.</v>
      </c>
      <c r="DU30" s="375" t="str">
        <f>$DG$21</f>
        <v>G02 X0. Y0. Z-1.25 I-4.063 J0.</v>
      </c>
      <c r="DV30" s="375" t="str">
        <f t="shared" si="21"/>
        <v>G02 X0. Y0. Z-1.25 I-3.84 J0.</v>
      </c>
      <c r="DW30" s="375" t="str">
        <f>$DG$21</f>
        <v>G02 X0. Y0. Z-1.25 I-4.063 J0.</v>
      </c>
      <c r="DX30" s="375" t="str">
        <f t="shared" si="22"/>
        <v>G02 X0. Y0. Z-1.25 I-3.84 J0.</v>
      </c>
      <c r="DY30" s="375" t="str">
        <f>$DG$21</f>
        <v>G02 X0. Y0. Z-1.25 I-4.063 J0.</v>
      </c>
      <c r="DZ30" s="375" t="str">
        <f t="shared" si="23"/>
        <v>G02 X0. Y0. Z-1.25 I-3.84 J0.</v>
      </c>
      <c r="EA30" s="375" t="str">
        <f>$DG$21</f>
        <v>G02 X0. Y0. Z-1.25 I-4.063 J0.</v>
      </c>
      <c r="EB30" s="375" t="str">
        <f t="shared" si="24"/>
        <v>G02 X0. Y0. Z-1.25 I-3.84 J0.</v>
      </c>
      <c r="EC30" s="375" t="str">
        <f>$DG$21</f>
        <v>G02 X0. Y0. Z-1.25 I-4.063 J0.</v>
      </c>
      <c r="ED30" s="375" t="str">
        <f t="shared" si="25"/>
        <v>G02 X0. Y0. Z-1.25 I-3.84 J0.</v>
      </c>
      <c r="EE30" s="375" t="str">
        <f>$DG$21</f>
        <v>G02 X0. Y0. Z-1.25 I-4.063 J0.</v>
      </c>
      <c r="EF30" s="375" t="str">
        <f t="shared" si="26"/>
        <v>G02 X0. Y0. Z-1.25 I-3.84 J0.</v>
      </c>
      <c r="EG30" s="23" t="str">
        <f>CONCATENATE(GH30,GI30,GJ30,GK30,GL30,GM30,GN30,GO30,GP30,GQ30,GR30,GS30)</f>
        <v>G03 X-4.102 Y3.375 Z0.313 R3,438</v>
      </c>
      <c r="EH30" s="23" t="str">
        <f>CONCATENATE(GV30,GW30,GX30,GY30,GZ30,HA30,HB30,HC30,HD30,HE30,HF30,HG30)</f>
        <v>G03 X-3.88 Y3.375 Z0.313 R3,408</v>
      </c>
      <c r="EI30" s="23" t="str">
        <f>BY24</f>
        <v>G00 G40 X0. Y-3.375</v>
      </c>
      <c r="EJ30" s="23" t="str">
        <f>BZ24</f>
        <v>G00 G40 X0. Y-3.375</v>
      </c>
      <c r="EK30" s="23" t="str">
        <f>EG24</f>
        <v>G03 X4.082 Y-4.092 Z0.313 I4.082 J-0.01</v>
      </c>
      <c r="EL30" s="23" t="str">
        <f>EH24</f>
        <v>G03 X3.86 Y-3.87 Z0.313 I3.86 J-0.01</v>
      </c>
      <c r="EM30" s="23" t="str">
        <f>CONCATENATE(HS30,HT30,HU30,HV30,HW30,HX30,HY30,HZ30,IA30,IB30,IC30,ID30,IE30,IF30)</f>
        <v>G00 Z19.961</v>
      </c>
      <c r="EN30" s="26">
        <v>10</v>
      </c>
      <c r="EO30" s="14" t="s">
        <v>1751</v>
      </c>
      <c r="EP30" s="14" t="s">
        <v>1750</v>
      </c>
      <c r="EQ30" s="14"/>
      <c r="ER30" s="14" t="s">
        <v>1752</v>
      </c>
      <c r="ES30" s="14" t="s">
        <v>181</v>
      </c>
      <c r="ET30" s="14" t="str">
        <f>SUBSTITUTE(ET28,",",".")</f>
        <v>200</v>
      </c>
      <c r="EU30" s="418" t="str">
        <f>IF(BT5&gt;1,". D0",". M5")</f>
        <v>. M5</v>
      </c>
      <c r="EV30" s="14"/>
      <c r="EW30" s="14"/>
      <c r="EX30" s="14"/>
      <c r="EY30" s="14"/>
      <c r="FC30" s="24"/>
      <c r="FD30" s="14"/>
      <c r="FE30" s="14"/>
      <c r="FF30" s="14"/>
      <c r="FG30" s="14"/>
      <c r="FH30" s="14"/>
      <c r="FI30" s="14"/>
      <c r="FJ30" s="14"/>
      <c r="FK30" s="14"/>
      <c r="FL30" s="14"/>
      <c r="FM30" s="14"/>
      <c r="FN30" s="14"/>
      <c r="FO30" s="14"/>
      <c r="FP30" s="14"/>
      <c r="FQ30" s="14"/>
      <c r="GG30" s="26">
        <v>10</v>
      </c>
      <c r="GH30" s="14" t="s">
        <v>675</v>
      </c>
      <c r="GI30" s="14" t="s">
        <v>674</v>
      </c>
      <c r="GJ30" s="14" t="str">
        <f>SUBSTITUTE(GJ28,",",".")</f>
        <v>-4.102</v>
      </c>
      <c r="GK30" s="14" t="str">
        <f>IF(GJ28=GJ29,". Y"," Y")</f>
        <v xml:space="preserve"> Y</v>
      </c>
      <c r="GL30" s="14" t="str">
        <f>SUBSTITUTE(GL28,",",".")</f>
        <v>3.375</v>
      </c>
      <c r="GM30" s="14" t="str">
        <f>IF(GL28=GL29,". Z"," Z")</f>
        <v xml:space="preserve"> Z</v>
      </c>
      <c r="GN30" s="14" t="str">
        <f>SUBSTITUTE(GN28,",",".")</f>
        <v>0.313</v>
      </c>
      <c r="GO30" s="418" t="str">
        <f>IF(BT5&gt;1,IF(BT5&gt;2," U"," CR=")," R")</f>
        <v xml:space="preserve"> R</v>
      </c>
      <c r="GP30" s="10">
        <f>BG52</f>
        <v>3.4380000000000002</v>
      </c>
      <c r="GU30" s="26">
        <v>10</v>
      </c>
      <c r="GV30" s="14" t="s">
        <v>675</v>
      </c>
      <c r="GW30" s="14" t="s">
        <v>674</v>
      </c>
      <c r="GX30" s="14" t="str">
        <f>SUBSTITUTE(GX28,",",".")</f>
        <v>-3.88</v>
      </c>
      <c r="GY30" s="14" t="str">
        <f>IF(GX28=GX29,". Y"," Y")</f>
        <v xml:space="preserve"> Y</v>
      </c>
      <c r="GZ30" s="14" t="str">
        <f>SUBSTITUTE(GZ28,",",".")</f>
        <v>3.375</v>
      </c>
      <c r="HA30" s="14" t="str">
        <f>IF(GZ28=GZ29,". Z"," Z")</f>
        <v xml:space="preserve"> Z</v>
      </c>
      <c r="HB30" s="14" t="str">
        <f>SUBSTITUTE(HB28,",",".")</f>
        <v>0.313</v>
      </c>
      <c r="HC30" s="418" t="str">
        <f>IF(BT5&gt;1,IF(BT5&gt;2," U"," CR=")," R")</f>
        <v xml:space="preserve"> R</v>
      </c>
      <c r="HD30" s="10">
        <f>BG51</f>
        <v>3.4079999999999999</v>
      </c>
      <c r="HI30" s="26"/>
      <c r="HJ30" s="14"/>
      <c r="HK30" s="14"/>
      <c r="HL30" s="14"/>
      <c r="HM30" s="14"/>
      <c r="HN30" s="14"/>
      <c r="HO30" s="14"/>
      <c r="HP30" s="14"/>
      <c r="HQ30" s="14"/>
      <c r="HR30" s="26">
        <v>10</v>
      </c>
      <c r="HS30" s="14" t="s">
        <v>672</v>
      </c>
      <c r="HT30" s="14" t="s">
        <v>673</v>
      </c>
      <c r="HU30" s="14" t="str">
        <f>SUBSTITUTE(HU28,",",".")</f>
        <v>19.961</v>
      </c>
      <c r="HV30" s="14" t="str">
        <f>IF(HU28=HU29,".","")</f>
        <v/>
      </c>
      <c r="HW30" s="14"/>
      <c r="HX30" s="14"/>
      <c r="HY30" s="14"/>
      <c r="HZ30" s="14"/>
      <c r="IA30" s="14"/>
      <c r="IG30" s="24"/>
      <c r="IH30" s="14"/>
      <c r="II30" s="14"/>
      <c r="IJ30" s="14"/>
      <c r="IK30" s="14"/>
      <c r="IL30" s="26">
        <v>10</v>
      </c>
      <c r="IM30" s="16" t="s">
        <v>885</v>
      </c>
      <c r="IN30" s="14"/>
      <c r="IO30" s="14"/>
      <c r="IP30" s="14"/>
      <c r="IQ30" s="14"/>
      <c r="IR30" s="14"/>
      <c r="IS30" s="14"/>
      <c r="IT30" s="14"/>
      <c r="IU30" s="14"/>
      <c r="IV30" s="14"/>
      <c r="IW30" s="14"/>
      <c r="IX30" s="14"/>
      <c r="IY30" s="14"/>
      <c r="IZ30" s="14"/>
    </row>
    <row r="31" spans="1:260" ht="15.95" customHeight="1">
      <c r="A31" s="390"/>
      <c r="B31" s="394" t="str">
        <f>I78</f>
        <v>T = time to mill the thread (seconds)</v>
      </c>
      <c r="C31" s="406">
        <f>IF(BP37=1,BL29,(IF(BP37=2,BL29+BI67,BL29+BI69)))</f>
        <v>8</v>
      </c>
      <c r="D31" s="391"/>
      <c r="E31" s="390"/>
      <c r="F31" s="391"/>
      <c r="G31" s="384" t="str">
        <f>IF(BW87=0,"",BW87)</f>
        <v/>
      </c>
      <c r="H31" t="s">
        <v>686</v>
      </c>
      <c r="I31" s="5" t="str">
        <f t="shared" si="27"/>
        <v>Steel, High Alloy, &lt; 1200 N/mm2</v>
      </c>
      <c r="J31" s="5" t="s">
        <v>706</v>
      </c>
      <c r="K31" s="5" t="s">
        <v>1392</v>
      </c>
      <c r="L31" s="40" t="s">
        <v>873</v>
      </c>
      <c r="M31" s="5" t="s">
        <v>273</v>
      </c>
      <c r="N31" s="5" t="s">
        <v>701</v>
      </c>
      <c r="O31" s="5" t="s">
        <v>1252</v>
      </c>
      <c r="P31" s="5" t="s">
        <v>1136</v>
      </c>
      <c r="Q31" s="5" t="s">
        <v>374</v>
      </c>
      <c r="R31" s="5" t="s">
        <v>512</v>
      </c>
      <c r="S31" s="5" t="s">
        <v>24</v>
      </c>
      <c r="T31" s="5" t="s">
        <v>515</v>
      </c>
      <c r="U31" s="5" t="s">
        <v>1279</v>
      </c>
      <c r="V31" s="5" t="s">
        <v>319</v>
      </c>
      <c r="W31" s="5" t="s">
        <v>605</v>
      </c>
      <c r="X31" s="38" t="s">
        <v>462</v>
      </c>
      <c r="Y31" s="43" t="s">
        <v>1814</v>
      </c>
      <c r="Z31" s="39" t="s">
        <v>1815</v>
      </c>
      <c r="AA31" s="417" t="s">
        <v>1816</v>
      </c>
      <c r="AB31" s="5" t="s">
        <v>263</v>
      </c>
      <c r="AD31" s="131">
        <v>30</v>
      </c>
      <c r="AE31" s="365">
        <v>1</v>
      </c>
      <c r="AF31" s="365">
        <v>3</v>
      </c>
      <c r="AG31" s="365">
        <v>1</v>
      </c>
      <c r="AH31" s="366" t="s">
        <v>1705</v>
      </c>
      <c r="AI31" s="352">
        <v>6</v>
      </c>
      <c r="AJ31" s="353">
        <v>1.52</v>
      </c>
      <c r="AK31" s="354">
        <v>3</v>
      </c>
      <c r="AL31" s="355">
        <v>0.4</v>
      </c>
      <c r="AM31" s="356">
        <v>4.2</v>
      </c>
      <c r="AN31" s="357">
        <v>57</v>
      </c>
      <c r="AO31" s="349">
        <v>1.9</v>
      </c>
      <c r="AP31" s="55">
        <f t="shared" si="0"/>
        <v>30</v>
      </c>
      <c r="AQ31" s="16">
        <f t="shared" si="1"/>
        <v>30</v>
      </c>
      <c r="AR31" s="16" t="b">
        <f t="shared" si="2"/>
        <v>0</v>
      </c>
      <c r="AS31" s="16" t="b">
        <f t="shared" si="3"/>
        <v>0</v>
      </c>
      <c r="AT31" s="16">
        <f t="shared" si="4"/>
        <v>30</v>
      </c>
      <c r="AU31" s="16" t="b">
        <f t="shared" si="5"/>
        <v>0</v>
      </c>
      <c r="BA31" s="61">
        <v>29</v>
      </c>
      <c r="BB31" s="157">
        <v>20</v>
      </c>
      <c r="BC31" s="158">
        <v>8.0000000000000002E-3</v>
      </c>
      <c r="BD31" s="158">
        <v>0.01</v>
      </c>
      <c r="BE31" s="74" t="s">
        <v>555</v>
      </c>
      <c r="BF31" s="68">
        <f>IF(D26&gt;0,D26,C26)</f>
        <v>2.5000000000000001E-2</v>
      </c>
      <c r="BH31" s="11"/>
      <c r="BI31" s="10"/>
      <c r="BO31" s="16"/>
      <c r="BP31" s="18"/>
      <c r="BS31" s="14">
        <v>1010022</v>
      </c>
      <c r="BT31" s="14">
        <f t="shared" si="13"/>
        <v>0</v>
      </c>
      <c r="BV31" s="8"/>
      <c r="CO31" s="375"/>
      <c r="CP31" s="375"/>
      <c r="CQ31" s="375"/>
      <c r="CR31" s="375"/>
      <c r="CS31" s="375"/>
      <c r="CT31" s="375"/>
      <c r="CU31" s="375"/>
      <c r="CV31" s="375"/>
      <c r="CW31" s="375"/>
      <c r="CX31" s="375"/>
      <c r="CY31" s="375"/>
      <c r="CZ31" s="375"/>
      <c r="DA31" s="375"/>
      <c r="DB31" s="375"/>
      <c r="DC31" s="375"/>
      <c r="DD31" s="375"/>
      <c r="DJ31" s="375"/>
      <c r="DO31" s="375"/>
      <c r="DP31" s="375"/>
      <c r="DQ31" s="375"/>
      <c r="DR31" s="375"/>
      <c r="DS31" s="375"/>
      <c r="DT31" s="375"/>
      <c r="DU31" s="375"/>
      <c r="DV31" s="375"/>
      <c r="DW31" s="375"/>
      <c r="DX31" s="375"/>
      <c r="DY31" s="375"/>
      <c r="DZ31" s="375"/>
      <c r="EA31" s="375"/>
      <c r="EB31" s="375"/>
      <c r="EC31" s="375"/>
      <c r="ED31" s="375"/>
      <c r="EE31" s="375"/>
      <c r="EF31" s="375"/>
      <c r="FC31" s="24"/>
      <c r="FD31" s="14"/>
      <c r="FE31" s="14"/>
      <c r="FF31" s="14"/>
      <c r="FG31" s="14"/>
      <c r="FH31" s="14"/>
      <c r="FI31" s="14"/>
      <c r="FJ31" s="14"/>
      <c r="FK31" s="14"/>
      <c r="FL31" s="14"/>
      <c r="FM31" s="14"/>
      <c r="FN31" s="14"/>
      <c r="FO31" s="14"/>
      <c r="FP31" s="14"/>
      <c r="FQ31" s="14"/>
      <c r="HS31" s="14"/>
      <c r="HT31" s="14"/>
      <c r="HU31" s="14"/>
      <c r="HV31" s="14"/>
      <c r="HW31" s="14"/>
      <c r="HX31" s="14">
        <v>200</v>
      </c>
      <c r="HY31" s="14"/>
      <c r="HZ31" s="14"/>
      <c r="IA31" s="14"/>
      <c r="IG31" s="24"/>
      <c r="IH31" s="14"/>
      <c r="II31" s="14"/>
      <c r="IJ31" s="14"/>
      <c r="IK31" s="14"/>
      <c r="IL31" s="24"/>
      <c r="IM31" s="14"/>
      <c r="IN31" s="14"/>
      <c r="IO31" s="14"/>
      <c r="IP31" s="14"/>
      <c r="IQ31" s="14"/>
      <c r="IR31" s="14"/>
      <c r="IS31" s="14"/>
      <c r="IT31" s="14"/>
      <c r="IU31" s="14"/>
      <c r="IV31" s="14"/>
      <c r="IW31" s="14"/>
      <c r="IX31" s="14"/>
      <c r="IY31" s="14"/>
      <c r="IZ31" s="14"/>
    </row>
    <row r="32" spans="1:260" ht="15.95" customHeight="1">
      <c r="A32" s="390"/>
      <c r="B32" s="400"/>
      <c r="C32" s="395"/>
      <c r="D32" s="391"/>
      <c r="E32" s="390"/>
      <c r="F32" s="391"/>
      <c r="G32" s="384" t="str">
        <f>IF(BW90=0,"",BW90)</f>
        <v/>
      </c>
      <c r="H32" t="s">
        <v>1399</v>
      </c>
      <c r="I32" s="5" t="str">
        <f t="shared" si="27"/>
        <v>Steel, Hardened, &lt; 45 HRC</v>
      </c>
      <c r="J32" s="5" t="s">
        <v>1407</v>
      </c>
      <c r="K32" s="5" t="s">
        <v>1393</v>
      </c>
      <c r="L32" s="40" t="s">
        <v>877</v>
      </c>
      <c r="M32" s="5" t="s">
        <v>1027</v>
      </c>
      <c r="N32" s="5" t="s">
        <v>702</v>
      </c>
      <c r="O32" s="5" t="s">
        <v>1253</v>
      </c>
      <c r="P32" s="5" t="s">
        <v>1137</v>
      </c>
      <c r="Q32" s="5" t="s">
        <v>1127</v>
      </c>
      <c r="R32" s="5" t="s">
        <v>513</v>
      </c>
      <c r="S32" s="5" t="s">
        <v>25</v>
      </c>
      <c r="T32" s="5" t="s">
        <v>518</v>
      </c>
      <c r="U32" s="5" t="s">
        <v>1280</v>
      </c>
      <c r="V32" s="5" t="s">
        <v>283</v>
      </c>
      <c r="W32" s="5" t="s">
        <v>606</v>
      </c>
      <c r="X32" s="38" t="s">
        <v>463</v>
      </c>
      <c r="Y32" s="43" t="s">
        <v>1817</v>
      </c>
      <c r="Z32" s="39" t="s">
        <v>1818</v>
      </c>
      <c r="AA32" s="417" t="s">
        <v>1819</v>
      </c>
      <c r="AB32" s="5" t="s">
        <v>264</v>
      </c>
      <c r="AD32" s="131">
        <v>31</v>
      </c>
      <c r="AE32" s="365">
        <v>1</v>
      </c>
      <c r="AF32" s="365">
        <v>3</v>
      </c>
      <c r="AG32" s="365">
        <v>1</v>
      </c>
      <c r="AH32" s="366" t="s">
        <v>1706</v>
      </c>
      <c r="AI32" s="352">
        <v>3</v>
      </c>
      <c r="AJ32" s="353">
        <v>1.18</v>
      </c>
      <c r="AK32" s="354">
        <v>3</v>
      </c>
      <c r="AL32" s="355">
        <v>0.35</v>
      </c>
      <c r="AM32" s="356">
        <v>3.4</v>
      </c>
      <c r="AN32" s="357">
        <v>30</v>
      </c>
      <c r="AO32" s="349">
        <v>1.5</v>
      </c>
      <c r="AP32" s="55">
        <f t="shared" si="0"/>
        <v>31</v>
      </c>
      <c r="AQ32" s="16">
        <f t="shared" si="1"/>
        <v>31</v>
      </c>
      <c r="AR32" s="16" t="b">
        <f t="shared" si="2"/>
        <v>0</v>
      </c>
      <c r="AS32" s="16" t="b">
        <f t="shared" si="3"/>
        <v>0</v>
      </c>
      <c r="AT32" s="16">
        <f t="shared" si="4"/>
        <v>31</v>
      </c>
      <c r="AU32" s="16" t="b">
        <f t="shared" si="5"/>
        <v>0</v>
      </c>
      <c r="BA32" s="61">
        <v>30</v>
      </c>
      <c r="BB32" s="157">
        <v>180</v>
      </c>
      <c r="BC32" s="158">
        <v>0.04</v>
      </c>
      <c r="BD32" s="158">
        <v>0.06</v>
      </c>
      <c r="BE32" s="76"/>
      <c r="BF32" s="65"/>
      <c r="BH32" s="11"/>
      <c r="BI32" s="10"/>
      <c r="BO32" s="16"/>
      <c r="BP32" s="18"/>
      <c r="BS32" s="14">
        <v>1010032</v>
      </c>
      <c r="BT32" s="14">
        <f t="shared" si="13"/>
        <v>0</v>
      </c>
      <c r="BV32" s="8"/>
      <c r="CO32" s="375"/>
      <c r="CP32" s="375"/>
      <c r="CQ32" s="375"/>
      <c r="CR32" s="375"/>
      <c r="CS32" s="375"/>
      <c r="CT32" s="375"/>
      <c r="CU32" s="375"/>
      <c r="CV32" s="375"/>
      <c r="CW32" s="375"/>
      <c r="CX32" s="375"/>
      <c r="CY32" s="375"/>
      <c r="CZ32" s="375"/>
      <c r="DA32" s="375"/>
      <c r="DB32" s="375"/>
      <c r="DC32" s="375"/>
      <c r="DD32" s="375"/>
      <c r="DJ32" s="375"/>
      <c r="DO32" s="375"/>
      <c r="DP32" s="375"/>
      <c r="DQ32" s="375"/>
      <c r="DR32" s="375"/>
      <c r="DS32" s="375"/>
      <c r="DT32" s="375"/>
      <c r="DU32" s="375"/>
      <c r="DV32" s="375"/>
      <c r="DW32" s="375"/>
      <c r="DX32" s="375"/>
      <c r="DY32" s="375"/>
      <c r="DZ32" s="375"/>
      <c r="EA32" s="375"/>
      <c r="EB32" s="375"/>
      <c r="EC32" s="375"/>
      <c r="ED32" s="375"/>
      <c r="EE32" s="375"/>
      <c r="EF32" s="375"/>
      <c r="FC32" s="24"/>
      <c r="FD32" s="14"/>
      <c r="FE32" s="14"/>
      <c r="FF32" s="14"/>
      <c r="FG32" s="14"/>
      <c r="FH32" s="14"/>
      <c r="FI32" s="14"/>
      <c r="FJ32" s="14"/>
      <c r="FK32" s="14"/>
      <c r="FL32" s="14"/>
      <c r="FM32" s="14"/>
      <c r="FN32" s="14"/>
      <c r="FO32" s="14"/>
      <c r="FP32" s="14"/>
      <c r="FQ32" s="14"/>
      <c r="GK32" s="16"/>
      <c r="GM32" s="16"/>
      <c r="GY32" s="16"/>
      <c r="HA32" s="16"/>
      <c r="HS32" s="14"/>
      <c r="HT32" s="14"/>
      <c r="HU32" s="14"/>
      <c r="HV32" s="14"/>
      <c r="HW32" s="14"/>
      <c r="HX32" s="14">
        <f>INT(HX31)</f>
        <v>200</v>
      </c>
      <c r="HY32" s="14"/>
      <c r="HZ32" s="14"/>
      <c r="IA32" s="14"/>
      <c r="IG32" s="24"/>
      <c r="IH32" s="14"/>
      <c r="II32" s="14"/>
      <c r="IJ32" s="14"/>
      <c r="IK32" s="14"/>
      <c r="IL32" s="24"/>
      <c r="IM32" s="14"/>
      <c r="IN32" s="14"/>
      <c r="IO32" s="14"/>
      <c r="IP32" s="14"/>
      <c r="IQ32" s="14"/>
      <c r="IR32" s="14"/>
      <c r="IS32" s="14"/>
      <c r="IT32" s="14"/>
      <c r="IU32" s="14"/>
      <c r="IV32" s="14"/>
      <c r="IW32" s="14"/>
      <c r="IX32" s="14"/>
      <c r="IY32" s="14"/>
      <c r="IZ32" s="14"/>
    </row>
    <row r="33" spans="1:260" ht="15.95" customHeight="1">
      <c r="A33" s="390"/>
      <c r="B33" s="390"/>
      <c r="C33" s="390"/>
      <c r="D33" s="390"/>
      <c r="E33" s="390"/>
      <c r="F33" s="391"/>
      <c r="G33" s="384" t="str">
        <f>IF(BW93=0,"",BW93)</f>
        <v/>
      </c>
      <c r="H33" t="s">
        <v>1306</v>
      </c>
      <c r="I33" s="5" t="str">
        <f t="shared" si="27"/>
        <v>Steel, Hardened, &lt; 55 HRC</v>
      </c>
      <c r="J33" s="5" t="s">
        <v>1408</v>
      </c>
      <c r="K33" s="5" t="s">
        <v>1394</v>
      </c>
      <c r="L33" s="40" t="s">
        <v>881</v>
      </c>
      <c r="M33" s="5" t="s">
        <v>1028</v>
      </c>
      <c r="N33" s="5" t="s">
        <v>660</v>
      </c>
      <c r="O33" s="5" t="s">
        <v>1254</v>
      </c>
      <c r="P33" s="5" t="s">
        <v>1138</v>
      </c>
      <c r="Q33" s="5" t="s">
        <v>1128</v>
      </c>
      <c r="R33" s="5" t="s">
        <v>514</v>
      </c>
      <c r="S33" s="5" t="s">
        <v>26</v>
      </c>
      <c r="T33" s="5" t="s">
        <v>519</v>
      </c>
      <c r="U33" s="5" t="s">
        <v>1281</v>
      </c>
      <c r="V33" s="5" t="s">
        <v>284</v>
      </c>
      <c r="W33" s="5" t="s">
        <v>607</v>
      </c>
      <c r="X33" s="38" t="s">
        <v>464</v>
      </c>
      <c r="Y33" s="43" t="s">
        <v>1820</v>
      </c>
      <c r="Z33" s="39" t="s">
        <v>1821</v>
      </c>
      <c r="AA33" s="417" t="s">
        <v>1822</v>
      </c>
      <c r="AB33" s="5" t="s">
        <v>1054</v>
      </c>
      <c r="AD33" s="131">
        <v>32</v>
      </c>
      <c r="AE33" s="365">
        <v>1</v>
      </c>
      <c r="AF33" s="365">
        <v>3</v>
      </c>
      <c r="AG33" s="365">
        <v>1</v>
      </c>
      <c r="AH33" s="366" t="s">
        <v>1707</v>
      </c>
      <c r="AI33" s="352">
        <v>3</v>
      </c>
      <c r="AJ33" s="353">
        <v>1.04</v>
      </c>
      <c r="AK33" s="354">
        <v>3</v>
      </c>
      <c r="AL33" s="355">
        <v>0.3</v>
      </c>
      <c r="AM33" s="356">
        <v>2.94</v>
      </c>
      <c r="AN33" s="357">
        <v>30</v>
      </c>
      <c r="AO33" s="349">
        <v>1.3</v>
      </c>
      <c r="AP33" s="55">
        <f t="shared" si="0"/>
        <v>32</v>
      </c>
      <c r="AQ33" s="16">
        <f t="shared" si="1"/>
        <v>32</v>
      </c>
      <c r="AR33" s="16" t="b">
        <f t="shared" si="2"/>
        <v>0</v>
      </c>
      <c r="AS33" s="16" t="b">
        <f t="shared" si="3"/>
        <v>0</v>
      </c>
      <c r="AT33" s="16">
        <f t="shared" si="4"/>
        <v>32</v>
      </c>
      <c r="AU33" s="16" t="b">
        <f t="shared" si="5"/>
        <v>0</v>
      </c>
      <c r="BA33" s="69"/>
      <c r="BB33" s="70"/>
      <c r="BC33" s="70"/>
      <c r="BD33" s="70"/>
      <c r="BE33" s="69"/>
      <c r="BF33" s="71"/>
      <c r="BO33" s="16"/>
      <c r="BP33" s="18"/>
      <c r="BS33" s="14">
        <v>1010111</v>
      </c>
      <c r="BT33" s="14">
        <f t="shared" si="13"/>
        <v>0</v>
      </c>
      <c r="BV33" s="8">
        <v>11</v>
      </c>
      <c r="BW33" s="54" t="str">
        <f>LOOKUP(BT$54,BX$2:EM$2,BX33:EM33)</f>
        <v>M30</v>
      </c>
      <c r="BY33" s="23" t="str">
        <f t="shared" si="11"/>
        <v>M30</v>
      </c>
      <c r="BZ33" s="23" t="str">
        <f>BY15</f>
        <v>G03 X4.063 Y3.375 Z0.313 R3,433</v>
      </c>
      <c r="CA33" s="23" t="str">
        <f>BY24</f>
        <v>G00 G40 X0. Y-3.375</v>
      </c>
      <c r="CB33" s="23" t="str">
        <f>BZ24</f>
        <v>G00 G40 X0. Y-3.375</v>
      </c>
      <c r="CC33" s="4" t="str">
        <f>CA42</f>
        <v>END1</v>
      </c>
      <c r="CD33" s="23" t="str">
        <f>CC33</f>
        <v>END1</v>
      </c>
      <c r="CF33" s="23" t="str">
        <f>BZ33</f>
        <v>G03 X4.063 Y3.375 Z0.313 R3,433</v>
      </c>
      <c r="CG33" s="23" t="str">
        <f>CE30</f>
        <v>M30</v>
      </c>
      <c r="CH33" s="23" t="str">
        <f>$CF$30</f>
        <v>G41 D10 X0. Y-3,375 F40</v>
      </c>
      <c r="CI33" s="23" t="str">
        <f>CG30</f>
        <v>G90 G49 G00 Z200. M5</v>
      </c>
      <c r="CJ33" s="23" t="str">
        <f>$CF$27</f>
        <v>G00 Z-16.875</v>
      </c>
      <c r="CK33" s="23" t="str">
        <f>CG27</f>
        <v>G00 G40 X0. Y-3.375</v>
      </c>
      <c r="CL33" s="23" t="str">
        <f>$CF$24</f>
        <v>G00 G40 X0. Y-3.375</v>
      </c>
      <c r="CM33" s="23" t="str">
        <f>CG24</f>
        <v>G03 X-4.063 Y3.375 Z0.313 R3,433</v>
      </c>
      <c r="CN33" s="23" t="str">
        <f>$CF$21</f>
        <v>G03 X-3.84 Y3.375 Z0.313 R3,403</v>
      </c>
      <c r="CO33" s="375" t="str">
        <f>CG21</f>
        <v>G03 X0. Y0. Z1.25 I-4.063 J0.</v>
      </c>
      <c r="CP33" s="375" t="str">
        <f>$CH$21</f>
        <v>G03 X0. Y0. Z1.25 I-3.84 J0.</v>
      </c>
      <c r="CQ33" s="375" t="str">
        <f>CG21</f>
        <v>G03 X0. Y0. Z1.25 I-4.063 J0.</v>
      </c>
      <c r="CR33" s="375" t="str">
        <f>$CH$21</f>
        <v>G03 X0. Y0. Z1.25 I-3.84 J0.</v>
      </c>
      <c r="CS33" s="375" t="str">
        <f>$CG$21</f>
        <v>G03 X0. Y0. Z1.25 I-4.063 J0.</v>
      </c>
      <c r="CT33" s="375" t="str">
        <f>$CH$21</f>
        <v>G03 X0. Y0. Z1.25 I-3.84 J0.</v>
      </c>
      <c r="CU33" s="375" t="str">
        <f>$CG$21</f>
        <v>G03 X0. Y0. Z1.25 I-4.063 J0.</v>
      </c>
      <c r="CV33" s="375" t="str">
        <f>$CH$21</f>
        <v>G03 X0. Y0. Z1.25 I-3.84 J0.</v>
      </c>
      <c r="CW33" s="375" t="str">
        <f>$CG$21</f>
        <v>G03 X0. Y0. Z1.25 I-4.063 J0.</v>
      </c>
      <c r="CX33" s="375" t="str">
        <f>$CH$21</f>
        <v>G03 X0. Y0. Z1.25 I-3.84 J0.</v>
      </c>
      <c r="CY33" s="375" t="str">
        <f>$CG$21</f>
        <v>G03 X0. Y0. Z1.25 I-4.063 J0.</v>
      </c>
      <c r="CZ33" s="375" t="str">
        <f>$CH$21</f>
        <v>G03 X0. Y0. Z1.25 I-3.84 J0.</v>
      </c>
      <c r="DA33" s="375" t="str">
        <f>$CG$21</f>
        <v>G03 X0. Y0. Z1.25 I-4.063 J0.</v>
      </c>
      <c r="DB33" s="375" t="str">
        <f>$CH$21</f>
        <v>G03 X0. Y0. Z1.25 I-3.84 J0.</v>
      </c>
      <c r="DC33" s="375" t="str">
        <f>$CG$21</f>
        <v>G03 X0. Y0. Z1.25 I-4.063 J0.</v>
      </c>
      <c r="DD33" s="375" t="str">
        <f>$CH$21</f>
        <v>G03 X0. Y0. Z1.25 I-3.84 J0.</v>
      </c>
      <c r="DF33" s="23" t="str">
        <f>DE15</f>
        <v>G02 X4.063 Y-3.375 Z-0.313 R3,433</v>
      </c>
      <c r="DG33" s="23" t="str">
        <f>$DE$30</f>
        <v>M30</v>
      </c>
      <c r="DH33" s="23" t="str">
        <f>$DF$30</f>
        <v>G91 G42 D10 X0. Y3,375 F40</v>
      </c>
      <c r="DI33" s="23" t="str">
        <f>$DE$27</f>
        <v>G90 G49 G00 Z200. M5</v>
      </c>
      <c r="DJ33" s="23" t="str">
        <f>$DF$27</f>
        <v>G90 G00 Z0.313</v>
      </c>
      <c r="DK33" s="23" t="str">
        <f>$DE$24</f>
        <v>G00 G40 X0. Y3.375</v>
      </c>
      <c r="DL33" s="23" t="str">
        <f>$DF$24</f>
        <v>G00 G40 X0. Y3.375</v>
      </c>
      <c r="DM33" s="23" t="str">
        <f>$DE$21</f>
        <v>G02 X-4.063 Y-3.375 Z-0.313 R3,433</v>
      </c>
      <c r="DN33" s="23" t="str">
        <f>$DF$21</f>
        <v>G02 X-3.84 Y-3.375 Z-0.313 R3,403</v>
      </c>
      <c r="DO33" s="375" t="str">
        <f>$DG$21</f>
        <v>G02 X0. Y0. Z-1.25 I-4.063 J0.</v>
      </c>
      <c r="DP33" s="375" t="str">
        <f t="shared" si="18"/>
        <v>G02 X0. Y0. Z-1.25 I-3.84 J0.</v>
      </c>
      <c r="DQ33" s="375" t="str">
        <f>$DG$21</f>
        <v>G02 X0. Y0. Z-1.25 I-4.063 J0.</v>
      </c>
      <c r="DR33" s="375" t="str">
        <f t="shared" si="19"/>
        <v>G02 X0. Y0. Z-1.25 I-3.84 J0.</v>
      </c>
      <c r="DS33" s="375" t="str">
        <f>$DG$21</f>
        <v>G02 X0. Y0. Z-1.25 I-4.063 J0.</v>
      </c>
      <c r="DT33" s="375" t="str">
        <f t="shared" si="20"/>
        <v>G02 X0. Y0. Z-1.25 I-3.84 J0.</v>
      </c>
      <c r="DU33" s="375" t="str">
        <f>$DG$21</f>
        <v>G02 X0. Y0. Z-1.25 I-4.063 J0.</v>
      </c>
      <c r="DV33" s="375" t="str">
        <f t="shared" si="21"/>
        <v>G02 X0. Y0. Z-1.25 I-3.84 J0.</v>
      </c>
      <c r="DW33" s="375" t="str">
        <f>$DG$21</f>
        <v>G02 X0. Y0. Z-1.25 I-4.063 J0.</v>
      </c>
      <c r="DX33" s="375" t="str">
        <f t="shared" si="22"/>
        <v>G02 X0. Y0. Z-1.25 I-3.84 J0.</v>
      </c>
      <c r="DY33" s="375" t="str">
        <f>$DG$21</f>
        <v>G02 X0. Y0. Z-1.25 I-4.063 J0.</v>
      </c>
      <c r="DZ33" s="375" t="str">
        <f t="shared" si="23"/>
        <v>G02 X0. Y0. Z-1.25 I-3.84 J0.</v>
      </c>
      <c r="EA33" s="375" t="str">
        <f>$DG$21</f>
        <v>G02 X0. Y0. Z-1.25 I-4.063 J0.</v>
      </c>
      <c r="EB33" s="375" t="str">
        <f t="shared" si="24"/>
        <v>G02 X0. Y0. Z-1.25 I-3.84 J0.</v>
      </c>
      <c r="EC33" s="375" t="str">
        <f>$DG$21</f>
        <v>G02 X0. Y0. Z-1.25 I-4.063 J0.</v>
      </c>
      <c r="ED33" s="375" t="str">
        <f t="shared" si="25"/>
        <v>G02 X0. Y0. Z-1.25 I-3.84 J0.</v>
      </c>
      <c r="EE33" s="375" t="str">
        <f>$DG$21</f>
        <v>G02 X0. Y0. Z-1.25 I-4.063 J0.</v>
      </c>
      <c r="EF33" s="375" t="str">
        <f t="shared" si="26"/>
        <v>G02 X0. Y0. Z-1.25 I-3.84 J0.</v>
      </c>
      <c r="EG33" s="23" t="str">
        <f>BY24</f>
        <v>G00 G40 X0. Y-3.375</v>
      </c>
      <c r="EH33" s="23" t="str">
        <f>BZ24</f>
        <v>G00 G40 X0. Y-3.375</v>
      </c>
      <c r="EI33" s="23" t="str">
        <f>BY27</f>
        <v>G00 Z18.937</v>
      </c>
      <c r="EJ33" s="23" t="str">
        <f>BZ27</f>
        <v>G00 Z-1.876</v>
      </c>
      <c r="EK33" s="23" t="str">
        <f>EG27</f>
        <v>G03 X4.102 Y4.092 Z0.313 I0.01 J4.092</v>
      </c>
      <c r="EL33" s="23" t="str">
        <f>EH27</f>
        <v>G03 X3.88 Y3.87 Z0.313 I0.01 J3.87</v>
      </c>
      <c r="EM33" s="23" t="str">
        <f>CONCATENATE(HS33,HT33,HU33,HV33,HW33,HX33,HY33,HZ33,IA33,IB33,IC33,ID33,IE33,IF33)</f>
        <v>G90 G49 G00 Z200. M5</v>
      </c>
      <c r="EN33" s="105">
        <v>11</v>
      </c>
      <c r="EO33" s="16" t="s">
        <v>885</v>
      </c>
      <c r="FC33" s="24"/>
      <c r="FD33" s="14"/>
      <c r="FE33" s="14"/>
      <c r="FF33" s="14"/>
      <c r="FG33" s="14"/>
      <c r="FH33" s="14"/>
      <c r="FI33" s="14"/>
      <c r="FJ33" s="14"/>
      <c r="FK33" s="14"/>
      <c r="FL33" s="14"/>
      <c r="FM33" s="14"/>
      <c r="FN33" s="14"/>
      <c r="FO33" s="14"/>
      <c r="FP33" s="14"/>
      <c r="FQ33" s="14"/>
      <c r="GG33" s="26"/>
      <c r="GU33" s="26"/>
      <c r="HI33" s="105"/>
      <c r="HJ33" s="16"/>
      <c r="HR33" s="105">
        <v>11</v>
      </c>
      <c r="HS33" s="14" t="s">
        <v>886</v>
      </c>
      <c r="HT33" s="14" t="s">
        <v>887</v>
      </c>
      <c r="HU33" s="14"/>
      <c r="HV33" s="14" t="s">
        <v>888</v>
      </c>
      <c r="HW33" s="14" t="s">
        <v>889</v>
      </c>
      <c r="HX33" s="14" t="str">
        <f>SUBSTITUTE(HX31,",",".")</f>
        <v>200</v>
      </c>
      <c r="HY33" s="418" t="str">
        <f>IF(BT5&gt;1,". D0",". M5")</f>
        <v>. M5</v>
      </c>
      <c r="HZ33" s="14"/>
      <c r="IA33" s="14"/>
      <c r="IG33" s="24"/>
      <c r="IH33" s="14"/>
      <c r="II33" s="14"/>
      <c r="IJ33" s="14"/>
      <c r="IK33" s="14"/>
      <c r="IL33" s="24"/>
      <c r="IM33" s="14"/>
      <c r="IN33" s="14"/>
      <c r="IO33" s="14"/>
      <c r="IP33" s="14"/>
      <c r="IQ33" s="14"/>
      <c r="IR33" s="14"/>
      <c r="IS33" s="14"/>
      <c r="IT33" s="14"/>
      <c r="IU33" s="14"/>
      <c r="IV33" s="14"/>
      <c r="IW33" s="14"/>
      <c r="IX33" s="14"/>
      <c r="IY33" s="14"/>
      <c r="IZ33" s="14"/>
    </row>
    <row r="34" spans="1:260" ht="15.95" customHeight="1">
      <c r="A34" s="390"/>
      <c r="B34" s="412" t="str">
        <f>I93</f>
        <v>Please read before use!</v>
      </c>
      <c r="C34" s="390"/>
      <c r="D34" s="390"/>
      <c r="E34" s="390"/>
      <c r="F34" s="413"/>
      <c r="G34" s="384" t="str">
        <f>IF(BW96=0,"",BW96)</f>
        <v/>
      </c>
      <c r="H34" t="s">
        <v>1307</v>
      </c>
      <c r="I34" s="5" t="str">
        <f t="shared" si="27"/>
        <v>Steel, Hardened, &lt; 65 HRC</v>
      </c>
      <c r="J34" s="5" t="s">
        <v>557</v>
      </c>
      <c r="K34" s="5" t="s">
        <v>268</v>
      </c>
      <c r="L34" s="40" t="s">
        <v>890</v>
      </c>
      <c r="M34" s="5" t="s">
        <v>1029</v>
      </c>
      <c r="N34" s="5" t="s">
        <v>776</v>
      </c>
      <c r="O34" s="5" t="s">
        <v>1255</v>
      </c>
      <c r="P34" s="5" t="s">
        <v>193</v>
      </c>
      <c r="Q34" s="5" t="s">
        <v>196</v>
      </c>
      <c r="R34" s="5" t="s">
        <v>516</v>
      </c>
      <c r="S34" s="5" t="s">
        <v>27</v>
      </c>
      <c r="T34" s="5" t="s">
        <v>1440</v>
      </c>
      <c r="U34" s="5" t="s">
        <v>1282</v>
      </c>
      <c r="V34" s="5" t="s">
        <v>285</v>
      </c>
      <c r="W34" s="5" t="s">
        <v>608</v>
      </c>
      <c r="X34" s="38" t="s">
        <v>451</v>
      </c>
      <c r="Y34" s="43" t="s">
        <v>1823</v>
      </c>
      <c r="Z34" s="39" t="s">
        <v>1824</v>
      </c>
      <c r="AA34" s="417" t="s">
        <v>1825</v>
      </c>
      <c r="AB34" s="5" t="s">
        <v>1055</v>
      </c>
      <c r="AD34" s="131">
        <v>33</v>
      </c>
      <c r="AE34" s="365">
        <v>1</v>
      </c>
      <c r="AF34" s="365">
        <v>3</v>
      </c>
      <c r="AG34" s="365">
        <v>1</v>
      </c>
      <c r="AH34" s="366" t="s">
        <v>1708</v>
      </c>
      <c r="AI34" s="352">
        <v>3</v>
      </c>
      <c r="AJ34" s="353">
        <v>0.89999999999999991</v>
      </c>
      <c r="AK34" s="354">
        <v>3</v>
      </c>
      <c r="AL34" s="355">
        <v>0.25</v>
      </c>
      <c r="AM34" s="356">
        <v>2.52</v>
      </c>
      <c r="AN34" s="357">
        <v>30</v>
      </c>
      <c r="AO34" s="349">
        <v>1.1000000000000001</v>
      </c>
      <c r="AP34" s="55">
        <f t="shared" ref="AP34:AP65" si="28">IF(BP$37&lt;=AE34,AD34)</f>
        <v>33</v>
      </c>
      <c r="AQ34" s="16">
        <f t="shared" si="1"/>
        <v>33</v>
      </c>
      <c r="AR34" s="16" t="b">
        <f t="shared" si="2"/>
        <v>0</v>
      </c>
      <c r="AS34" s="16" t="b">
        <f t="shared" si="3"/>
        <v>0</v>
      </c>
      <c r="AT34" s="16">
        <f t="shared" si="4"/>
        <v>33</v>
      </c>
      <c r="AU34" s="16" t="b">
        <f t="shared" si="5"/>
        <v>0</v>
      </c>
      <c r="BA34" s="8"/>
      <c r="BB34" s="12"/>
      <c r="BC34" s="12"/>
      <c r="BD34" s="8"/>
      <c r="BE34" s="9"/>
      <c r="BF34" s="9"/>
      <c r="BG34" s="7"/>
      <c r="BH34" s="9"/>
      <c r="BI34" s="9"/>
      <c r="BJ34" s="9"/>
      <c r="BS34" s="14">
        <v>1010112</v>
      </c>
      <c r="BT34" s="14">
        <f t="shared" si="13"/>
        <v>0</v>
      </c>
      <c r="BV34" s="8"/>
      <c r="BY34" s="23" t="str">
        <f t="shared" si="11"/>
        <v/>
      </c>
      <c r="CQ34" s="375"/>
      <c r="CR34" s="375"/>
      <c r="CS34" s="375"/>
      <c r="CT34" s="375"/>
      <c r="CU34" s="375"/>
      <c r="CV34" s="375"/>
      <c r="CW34" s="375"/>
      <c r="CX34" s="375"/>
      <c r="CY34" s="375"/>
      <c r="CZ34" s="375"/>
      <c r="DA34" s="375"/>
      <c r="DB34" s="375"/>
      <c r="DC34" s="375"/>
      <c r="DD34" s="375"/>
      <c r="DE34" s="375"/>
      <c r="DF34" s="375"/>
      <c r="DG34" s="375"/>
      <c r="DH34" s="375"/>
      <c r="DL34" s="375"/>
      <c r="DO34" s="375"/>
      <c r="DP34" s="375"/>
      <c r="DQ34" s="375"/>
      <c r="DR34" s="375"/>
      <c r="DS34" s="375"/>
      <c r="DT34" s="375"/>
      <c r="DU34" s="375"/>
      <c r="DV34" s="375"/>
      <c r="DW34" s="375"/>
      <c r="DX34" s="375"/>
      <c r="DY34" s="375"/>
      <c r="DZ34" s="375"/>
      <c r="EA34" s="375"/>
      <c r="EB34" s="375"/>
      <c r="EC34" s="375"/>
      <c r="ED34" s="375"/>
      <c r="EE34" s="375"/>
      <c r="EF34" s="375"/>
      <c r="FC34" s="24"/>
      <c r="FD34" s="14"/>
      <c r="FE34" s="14"/>
      <c r="FF34" s="14"/>
      <c r="FG34" s="14"/>
      <c r="FH34" s="14"/>
      <c r="FI34" s="14"/>
      <c r="FJ34" s="14"/>
      <c r="FK34" s="14"/>
      <c r="FL34" s="14"/>
      <c r="FM34" s="14"/>
      <c r="FN34" s="14"/>
      <c r="FO34" s="14"/>
      <c r="FP34" s="14"/>
      <c r="FQ34" s="14"/>
      <c r="FR34" s="26"/>
      <c r="FU34" s="202">
        <f>BP7-(BL6*1.5)</f>
        <v>15.625</v>
      </c>
      <c r="IA34"/>
      <c r="IG34" s="24"/>
      <c r="IH34" s="14"/>
      <c r="II34" s="14"/>
      <c r="IJ34" s="14"/>
      <c r="IK34" s="14"/>
      <c r="IL34" s="24"/>
      <c r="IM34" s="14"/>
      <c r="IN34" s="14"/>
      <c r="IO34" s="14"/>
      <c r="IP34" s="14"/>
      <c r="IQ34" s="14"/>
      <c r="IR34" s="14"/>
      <c r="IS34" s="14"/>
      <c r="IT34" s="14"/>
      <c r="IU34" s="14"/>
      <c r="IV34" s="14"/>
      <c r="IW34" s="14"/>
      <c r="IX34" s="14"/>
      <c r="IY34" s="14"/>
      <c r="IZ34" s="14"/>
    </row>
    <row r="35" spans="1:260" ht="15.95" customHeight="1">
      <c r="A35" s="390"/>
      <c r="B35" s="414"/>
      <c r="C35" s="390"/>
      <c r="D35" s="390"/>
      <c r="E35" s="390"/>
      <c r="F35" s="415"/>
      <c r="G35" s="384" t="str">
        <f>IF(BW99=0,"",BW99)</f>
        <v/>
      </c>
      <c r="H35" t="s">
        <v>1304</v>
      </c>
      <c r="I35" s="5" t="str">
        <f t="shared" si="27"/>
        <v>Cast iron, Lamellar Graphite, &lt; 500 N/mm2</v>
      </c>
      <c r="J35" s="5" t="s">
        <v>596</v>
      </c>
      <c r="K35" s="5" t="s">
        <v>613</v>
      </c>
      <c r="L35" s="40" t="s">
        <v>899</v>
      </c>
      <c r="M35" s="5" t="s">
        <v>1030</v>
      </c>
      <c r="N35" s="5" t="s">
        <v>1369</v>
      </c>
      <c r="O35" s="5" t="s">
        <v>1256</v>
      </c>
      <c r="P35" s="5" t="s">
        <v>357</v>
      </c>
      <c r="Q35" s="5" t="s">
        <v>356</v>
      </c>
      <c r="R35" s="5" t="s">
        <v>517</v>
      </c>
      <c r="S35" s="5" t="s">
        <v>28</v>
      </c>
      <c r="T35" s="5" t="s">
        <v>449</v>
      </c>
      <c r="U35" s="5" t="s">
        <v>1283</v>
      </c>
      <c r="V35" s="5" t="s">
        <v>286</v>
      </c>
      <c r="W35" s="5" t="s">
        <v>1420</v>
      </c>
      <c r="X35" s="38" t="s">
        <v>452</v>
      </c>
      <c r="Y35" s="43" t="s">
        <v>1826</v>
      </c>
      <c r="Z35" s="39" t="s">
        <v>1827</v>
      </c>
      <c r="AA35" s="417" t="s">
        <v>1828</v>
      </c>
      <c r="AB35" s="5" t="s">
        <v>1056</v>
      </c>
      <c r="AD35" s="131">
        <v>34</v>
      </c>
      <c r="AE35" s="365">
        <v>1</v>
      </c>
      <c r="AF35" s="365">
        <v>3</v>
      </c>
      <c r="AG35" s="365">
        <v>1</v>
      </c>
      <c r="AH35" s="366" t="s">
        <v>1709</v>
      </c>
      <c r="AI35" s="352">
        <v>3</v>
      </c>
      <c r="AJ35" s="353">
        <v>0.7</v>
      </c>
      <c r="AK35" s="354">
        <v>3</v>
      </c>
      <c r="AL35" s="355">
        <v>0.25</v>
      </c>
      <c r="AM35" s="356">
        <v>2.1</v>
      </c>
      <c r="AN35" s="357">
        <v>30</v>
      </c>
      <c r="AO35" s="349">
        <v>0.9</v>
      </c>
      <c r="AP35" s="55">
        <f t="shared" si="28"/>
        <v>34</v>
      </c>
      <c r="AQ35" s="16">
        <f t="shared" si="1"/>
        <v>34</v>
      </c>
      <c r="AR35" s="16" t="b">
        <f t="shared" si="2"/>
        <v>0</v>
      </c>
      <c r="AS35" s="16" t="b">
        <f t="shared" si="3"/>
        <v>0</v>
      </c>
      <c r="AT35" s="16">
        <f t="shared" si="4"/>
        <v>34</v>
      </c>
      <c r="AU35" s="16" t="b">
        <f t="shared" si="5"/>
        <v>0</v>
      </c>
      <c r="BA35" s="8"/>
      <c r="BB35" s="12"/>
      <c r="BC35" s="12"/>
      <c r="BD35" s="12"/>
      <c r="BE35" s="12"/>
      <c r="BF35" s="12"/>
      <c r="BG35" s="12"/>
      <c r="BH35" s="12"/>
      <c r="BI35" s="12"/>
      <c r="BJ35" s="12"/>
      <c r="BS35" s="14">
        <v>1010121</v>
      </c>
      <c r="BT35" s="14">
        <f t="shared" si="13"/>
        <v>0</v>
      </c>
      <c r="BV35" s="8"/>
      <c r="BY35" s="23" t="str">
        <f t="shared" si="11"/>
        <v/>
      </c>
      <c r="CQ35" s="375"/>
      <c r="CR35" s="375"/>
      <c r="CS35" s="375"/>
      <c r="CT35" s="375"/>
      <c r="CU35" s="375"/>
      <c r="CV35" s="375"/>
      <c r="CW35" s="375"/>
      <c r="CX35" s="375"/>
      <c r="CY35" s="375"/>
      <c r="CZ35" s="375"/>
      <c r="DA35" s="375"/>
      <c r="DB35" s="375"/>
      <c r="DC35" s="375"/>
      <c r="DD35" s="375"/>
      <c r="DE35" s="375"/>
      <c r="DF35" s="375"/>
      <c r="DG35" s="375"/>
      <c r="DH35" s="375"/>
      <c r="DL35" s="375"/>
      <c r="DO35" s="375"/>
      <c r="DP35" s="375"/>
      <c r="DQ35" s="375"/>
      <c r="DR35" s="375"/>
      <c r="DS35" s="375"/>
      <c r="DT35" s="375"/>
      <c r="DU35" s="375"/>
      <c r="DV35" s="375"/>
      <c r="DW35" s="375"/>
      <c r="DX35" s="375"/>
      <c r="DY35" s="375"/>
      <c r="DZ35" s="375"/>
      <c r="EA35" s="375"/>
      <c r="EB35" s="375"/>
      <c r="EC35" s="375"/>
      <c r="ED35" s="375"/>
      <c r="EE35" s="375"/>
      <c r="EF35" s="375"/>
      <c r="EX35" s="14"/>
      <c r="FC35" s="24"/>
      <c r="FD35" s="14"/>
      <c r="FE35" s="14"/>
      <c r="FF35" s="14"/>
      <c r="FG35" s="14"/>
      <c r="FH35" s="14"/>
      <c r="FI35" s="14"/>
      <c r="FJ35" s="14"/>
      <c r="FK35" s="14"/>
      <c r="FL35" s="14"/>
      <c r="FM35" s="14"/>
      <c r="FN35" s="14"/>
      <c r="FO35" s="14"/>
      <c r="FP35" s="14"/>
      <c r="FQ35" s="14"/>
      <c r="FU35" s="53">
        <f>INT(FU34)</f>
        <v>15</v>
      </c>
      <c r="IA35"/>
      <c r="IG35" s="24"/>
      <c r="IH35" s="14"/>
      <c r="II35" s="14"/>
      <c r="IJ35" s="14"/>
      <c r="IK35" s="14"/>
      <c r="IL35" s="24"/>
      <c r="IM35" s="14"/>
      <c r="IN35" s="14"/>
      <c r="IO35" s="14"/>
      <c r="IP35" s="14"/>
      <c r="IQ35" s="14"/>
      <c r="IR35" s="14"/>
      <c r="IS35" s="14"/>
      <c r="IT35" s="14"/>
      <c r="IU35" s="14"/>
      <c r="IV35" s="14"/>
      <c r="IW35" s="14"/>
      <c r="IX35" s="14"/>
      <c r="IY35" s="14"/>
      <c r="IZ35" s="14"/>
    </row>
    <row r="36" spans="1:260" ht="15.95" customHeight="1">
      <c r="A36" s="387"/>
      <c r="B36" s="387"/>
      <c r="C36" s="387"/>
      <c r="D36" s="387"/>
      <c r="E36" s="387"/>
      <c r="F36" s="388"/>
      <c r="G36" s="383" t="str">
        <f>IF(BW102=0,"",BW102)</f>
        <v/>
      </c>
      <c r="H36" t="s">
        <v>1308</v>
      </c>
      <c r="I36" s="5" t="str">
        <f t="shared" si="27"/>
        <v>Cast iron, Lamellar Graphite, &lt; 1000 N/mm2</v>
      </c>
      <c r="J36" s="5" t="s">
        <v>635</v>
      </c>
      <c r="K36" s="5" t="s">
        <v>1382</v>
      </c>
      <c r="L36" s="40" t="s">
        <v>903</v>
      </c>
      <c r="M36" s="5" t="s">
        <v>1031</v>
      </c>
      <c r="N36" s="5" t="s">
        <v>1370</v>
      </c>
      <c r="O36" s="5" t="s">
        <v>641</v>
      </c>
      <c r="P36" s="5" t="s">
        <v>173</v>
      </c>
      <c r="Q36" s="5" t="s">
        <v>1110</v>
      </c>
      <c r="R36" s="5" t="s">
        <v>119</v>
      </c>
      <c r="S36" s="5" t="s">
        <v>29</v>
      </c>
      <c r="T36" s="5" t="s">
        <v>227</v>
      </c>
      <c r="U36" s="5" t="s">
        <v>659</v>
      </c>
      <c r="V36" s="5" t="s">
        <v>287</v>
      </c>
      <c r="W36" s="5" t="s">
        <v>599</v>
      </c>
      <c r="X36" s="38" t="s">
        <v>453</v>
      </c>
      <c r="Y36" s="43" t="s">
        <v>1829</v>
      </c>
      <c r="Z36" s="39" t="s">
        <v>639</v>
      </c>
      <c r="AA36" s="417" t="s">
        <v>1830</v>
      </c>
      <c r="AB36" s="5" t="s">
        <v>1057</v>
      </c>
      <c r="AD36" s="131">
        <v>35</v>
      </c>
      <c r="AE36" s="365">
        <v>1</v>
      </c>
      <c r="AF36" s="365">
        <v>3</v>
      </c>
      <c r="AG36" s="365">
        <v>2</v>
      </c>
      <c r="AH36" s="366" t="s">
        <v>1710</v>
      </c>
      <c r="AI36" s="352">
        <v>10</v>
      </c>
      <c r="AJ36" s="353">
        <v>8.94</v>
      </c>
      <c r="AK36" s="354">
        <v>3</v>
      </c>
      <c r="AL36" s="355">
        <v>14</v>
      </c>
      <c r="AM36" s="356">
        <v>23.3</v>
      </c>
      <c r="AN36" s="357">
        <v>73</v>
      </c>
      <c r="AO36" s="349">
        <v>10.7125</v>
      </c>
      <c r="AP36" s="55">
        <f t="shared" si="28"/>
        <v>35</v>
      </c>
      <c r="AQ36" s="16" t="b">
        <f t="shared" si="1"/>
        <v>0</v>
      </c>
      <c r="AR36" s="16" t="b">
        <f t="shared" si="2"/>
        <v>0</v>
      </c>
      <c r="AS36" s="16">
        <f t="shared" si="3"/>
        <v>35</v>
      </c>
      <c r="AT36" s="16" t="b">
        <f t="shared" si="4"/>
        <v>0</v>
      </c>
      <c r="AU36" s="16" t="b">
        <f t="shared" si="5"/>
        <v>0</v>
      </c>
      <c r="BA36" s="8"/>
      <c r="BB36" s="7"/>
      <c r="BC36" s="13"/>
      <c r="BD36" s="13"/>
      <c r="BE36" s="13"/>
      <c r="BF36" s="13"/>
      <c r="BG36" s="13"/>
      <c r="BH36" s="173" t="s">
        <v>906</v>
      </c>
      <c r="BI36" s="172">
        <v>1</v>
      </c>
      <c r="BJ36" s="168" t="s">
        <v>907</v>
      </c>
      <c r="BK36" s="169"/>
      <c r="BS36" s="14">
        <v>1010122</v>
      </c>
      <c r="BT36" s="14">
        <f t="shared" si="13"/>
        <v>0</v>
      </c>
      <c r="BV36" s="8">
        <v>12</v>
      </c>
      <c r="BW36" s="54" t="str">
        <f>LOOKUP(BT$54,BX$2:EM$2,BX36:EM36)</f>
        <v/>
      </c>
      <c r="BY36" s="23" t="str">
        <f t="shared" si="11"/>
        <v/>
      </c>
      <c r="BZ36" s="23" t="str">
        <f>BY18</f>
        <v>G03 X0. Y0. Z1.25 I-4.063 J0. F80</v>
      </c>
      <c r="CA36" s="23" t="str">
        <f>CONCATENATE(FS36,FT36,FU36,FV36)</f>
        <v>G00 Z15.625</v>
      </c>
      <c r="CB36" s="23" t="str">
        <f>BZ27</f>
        <v>G00 Z-1.876</v>
      </c>
      <c r="CC36" s="4" t="str">
        <f>BY21</f>
        <v>G03 X-4.063 Y3.375 Z0.313 R3,433</v>
      </c>
      <c r="CD36" s="23" t="str">
        <f>BZ21</f>
        <v>G03 X-3.84 Y3.375 Z0.313 R3,403</v>
      </c>
      <c r="CF36" s="375" t="str">
        <f>BZ36</f>
        <v>G03 X0. Y0. Z1.25 I-4.063 J0. F80</v>
      </c>
      <c r="CH36" s="23" t="str">
        <f>$CF$33</f>
        <v>G03 X4.063 Y3.375 Z0.313 R3,433</v>
      </c>
      <c r="CI36" s="23" t="str">
        <f>CG33</f>
        <v>M30</v>
      </c>
      <c r="CJ36" s="23" t="str">
        <f>$CF$30</f>
        <v>G41 D10 X0. Y-3,375 F40</v>
      </c>
      <c r="CK36" s="23" t="str">
        <f>CG30</f>
        <v>G90 G49 G00 Z200. M5</v>
      </c>
      <c r="CL36" s="23" t="str">
        <f>$CF$27</f>
        <v>G00 Z-16.875</v>
      </c>
      <c r="CM36" s="23" t="str">
        <f>CG27</f>
        <v>G00 G40 X0. Y-3.375</v>
      </c>
      <c r="CN36" s="23" t="str">
        <f>$CF$24</f>
        <v>G00 G40 X0. Y-3.375</v>
      </c>
      <c r="CO36" s="23" t="str">
        <f>CG24</f>
        <v>G03 X-4.063 Y3.375 Z0.313 R3,433</v>
      </c>
      <c r="CP36" s="23" t="str">
        <f>$CF$21</f>
        <v>G03 X-3.84 Y3.375 Z0.313 R3,403</v>
      </c>
      <c r="CQ36" s="375" t="str">
        <f>CG21</f>
        <v>G03 X0. Y0. Z1.25 I-4.063 J0.</v>
      </c>
      <c r="CR36" s="375" t="str">
        <f>$CH$21</f>
        <v>G03 X0. Y0. Z1.25 I-3.84 J0.</v>
      </c>
      <c r="CS36" s="375" t="str">
        <f>$CG$21</f>
        <v>G03 X0. Y0. Z1.25 I-4.063 J0.</v>
      </c>
      <c r="CT36" s="375" t="str">
        <f>$CH$21</f>
        <v>G03 X0. Y0. Z1.25 I-3.84 J0.</v>
      </c>
      <c r="CU36" s="375" t="str">
        <f>$CG$21</f>
        <v>G03 X0. Y0. Z1.25 I-4.063 J0.</v>
      </c>
      <c r="CV36" s="375" t="str">
        <f>$CH$21</f>
        <v>G03 X0. Y0. Z1.25 I-3.84 J0.</v>
      </c>
      <c r="CW36" s="375" t="str">
        <f>$CG$21</f>
        <v>G03 X0. Y0. Z1.25 I-4.063 J0.</v>
      </c>
      <c r="CX36" s="375" t="str">
        <f>$CH$21</f>
        <v>G03 X0. Y0. Z1.25 I-3.84 J0.</v>
      </c>
      <c r="CY36" s="375" t="str">
        <f>$CG$21</f>
        <v>G03 X0. Y0. Z1.25 I-4.063 J0.</v>
      </c>
      <c r="CZ36" s="375" t="str">
        <f>$CH$21</f>
        <v>G03 X0. Y0. Z1.25 I-3.84 J0.</v>
      </c>
      <c r="DA36" s="375" t="str">
        <f>$CG$21</f>
        <v>G03 X0. Y0. Z1.25 I-4.063 J0.</v>
      </c>
      <c r="DB36" s="375" t="str">
        <f>$CH$21</f>
        <v>G03 X0. Y0. Z1.25 I-3.84 J0.</v>
      </c>
      <c r="DC36" s="375" t="str">
        <f>$CG$21</f>
        <v>G03 X0. Y0. Z1.25 I-4.063 J0.</v>
      </c>
      <c r="DD36" s="375" t="str">
        <f>$CH$21</f>
        <v>G03 X0. Y0. Z1.25 I-3.84 J0.</v>
      </c>
      <c r="DE36" s="375"/>
      <c r="DF36" s="375" t="str">
        <f>DE18</f>
        <v>G02 X0. Y0. Z-1.25 I-4.063 J0. F80</v>
      </c>
      <c r="DG36" s="375"/>
      <c r="DH36" s="23" t="str">
        <f>$DF$33</f>
        <v>G02 X4.063 Y-3.375 Z-0.313 R3,433</v>
      </c>
      <c r="DI36" s="23" t="str">
        <f>$DE$30</f>
        <v>M30</v>
      </c>
      <c r="DJ36" s="23" t="str">
        <f>$DF$30</f>
        <v>G91 G42 D10 X0. Y3,375 F40</v>
      </c>
      <c r="DK36" s="23" t="str">
        <f>$DE$27</f>
        <v>G90 G49 G00 Z200. M5</v>
      </c>
      <c r="DL36" s="23" t="str">
        <f>$DF$27</f>
        <v>G90 G00 Z0.313</v>
      </c>
      <c r="DM36" s="23" t="str">
        <f>$DE$24</f>
        <v>G00 G40 X0. Y3.375</v>
      </c>
      <c r="DN36" s="23" t="str">
        <f>$DF$24</f>
        <v>G00 G40 X0. Y3.375</v>
      </c>
      <c r="DO36" s="23" t="str">
        <f>$DE$21</f>
        <v>G02 X-4.063 Y-3.375 Z-0.313 R3,433</v>
      </c>
      <c r="DP36" s="23" t="str">
        <f>$DF$21</f>
        <v>G02 X-3.84 Y-3.375 Z-0.313 R3,403</v>
      </c>
      <c r="DQ36" s="375" t="str">
        <f>$DG$21</f>
        <v>G02 X0. Y0. Z-1.25 I-4.063 J0.</v>
      </c>
      <c r="DR36" s="375" t="str">
        <f t="shared" si="19"/>
        <v>G02 X0. Y0. Z-1.25 I-3.84 J0.</v>
      </c>
      <c r="DS36" s="375" t="str">
        <f>$DG$21</f>
        <v>G02 X0. Y0. Z-1.25 I-4.063 J0.</v>
      </c>
      <c r="DT36" s="375" t="str">
        <f t="shared" si="20"/>
        <v>G02 X0. Y0. Z-1.25 I-3.84 J0.</v>
      </c>
      <c r="DU36" s="375" t="str">
        <f>$DG$21</f>
        <v>G02 X0. Y0. Z-1.25 I-4.063 J0.</v>
      </c>
      <c r="DV36" s="375" t="str">
        <f t="shared" si="21"/>
        <v>G02 X0. Y0. Z-1.25 I-3.84 J0.</v>
      </c>
      <c r="DW36" s="375" t="str">
        <f>$DG$21</f>
        <v>G02 X0. Y0. Z-1.25 I-4.063 J0.</v>
      </c>
      <c r="DX36" s="375" t="str">
        <f t="shared" si="22"/>
        <v>G02 X0. Y0. Z-1.25 I-3.84 J0.</v>
      </c>
      <c r="DY36" s="375" t="str">
        <f>$DG$21</f>
        <v>G02 X0. Y0. Z-1.25 I-4.063 J0.</v>
      </c>
      <c r="DZ36" s="375" t="str">
        <f t="shared" si="23"/>
        <v>G02 X0. Y0. Z-1.25 I-3.84 J0.</v>
      </c>
      <c r="EA36" s="375" t="str">
        <f>$DG$21</f>
        <v>G02 X0. Y0. Z-1.25 I-4.063 J0.</v>
      </c>
      <c r="EB36" s="375" t="str">
        <f t="shared" si="24"/>
        <v>G02 X0. Y0. Z-1.25 I-3.84 J0.</v>
      </c>
      <c r="EC36" s="375" t="str">
        <f>$DG$21</f>
        <v>G02 X0. Y0. Z-1.25 I-4.063 J0.</v>
      </c>
      <c r="ED36" s="375" t="str">
        <f t="shared" si="25"/>
        <v>G02 X0. Y0. Z-1.25 I-3.84 J0.</v>
      </c>
      <c r="EE36" s="375" t="str">
        <f>$DG$21</f>
        <v>G02 X0. Y0. Z-1.25 I-4.063 J0.</v>
      </c>
      <c r="EF36" s="375" t="str">
        <f t="shared" si="26"/>
        <v>G02 X0. Y0. Z-1.25 I-3.84 J0.</v>
      </c>
      <c r="EG36" s="23" t="str">
        <f>BY27</f>
        <v>G00 Z18.937</v>
      </c>
      <c r="EH36" s="23" t="str">
        <f>BZ27</f>
        <v>G00 Z-1.876</v>
      </c>
      <c r="EI36" s="23" t="str">
        <f>BY30</f>
        <v>G90 G49 G00 Z200. M5</v>
      </c>
      <c r="EJ36" s="23" t="str">
        <f>BZ30</f>
        <v>G41 D10 X0. Y-3,375 F40</v>
      </c>
      <c r="EK36" s="23" t="str">
        <f>EG30</f>
        <v>G03 X-4.102 Y3.375 Z0.313 R3,438</v>
      </c>
      <c r="EL36" s="23" t="str">
        <f>EH30</f>
        <v>G03 X-3.88 Y3.375 Z0.313 R3,408</v>
      </c>
      <c r="EM36" s="23" t="str">
        <f>CONCATENATE(HS36,HT36,HU36,HV36,HW36,HX36,HY36,HZ36,IA36,IB36,IC36,ID36,IE36,IF36)</f>
        <v>M30</v>
      </c>
      <c r="EX36" s="14"/>
      <c r="FC36" s="24"/>
      <c r="FD36" s="14"/>
      <c r="FE36" s="14"/>
      <c r="FF36" s="14"/>
      <c r="FG36" s="14"/>
      <c r="FH36" s="14"/>
      <c r="FI36" s="14"/>
      <c r="FJ36" s="14"/>
      <c r="FK36" s="14"/>
      <c r="FL36" s="14"/>
      <c r="FM36" s="14"/>
      <c r="FN36" s="14"/>
      <c r="FO36" s="14"/>
      <c r="FP36" s="14"/>
      <c r="FQ36" s="14"/>
      <c r="FR36" s="26">
        <v>12</v>
      </c>
      <c r="FS36" s="53" t="s">
        <v>672</v>
      </c>
      <c r="FT36" s="53" t="s">
        <v>673</v>
      </c>
      <c r="FU36" s="53" t="str">
        <f>SUBSTITUTE(FU34,",",".")</f>
        <v>15.625</v>
      </c>
      <c r="FV36" s="53" t="str">
        <f>IF(FU34=FU35,".","")</f>
        <v/>
      </c>
      <c r="HR36" s="105">
        <v>12</v>
      </c>
      <c r="HS36" s="16" t="s">
        <v>885</v>
      </c>
      <c r="IA36"/>
      <c r="IG36" s="24"/>
      <c r="IH36" s="14"/>
      <c r="II36" s="14"/>
      <c r="IJ36" s="14"/>
      <c r="IK36" s="14"/>
      <c r="IL36" s="24"/>
      <c r="IM36" s="22" t="s">
        <v>1759</v>
      </c>
      <c r="IN36" s="14"/>
      <c r="IO36" s="14"/>
      <c r="IP36" s="14"/>
      <c r="IQ36" s="14"/>
      <c r="IR36" s="14"/>
      <c r="IS36" s="14"/>
      <c r="IT36" s="14"/>
      <c r="IU36" s="14"/>
      <c r="IV36" s="14"/>
      <c r="IW36" s="14"/>
      <c r="IX36" s="14"/>
      <c r="IY36" s="14"/>
      <c r="IZ36" s="14"/>
    </row>
    <row r="37" spans="1:260" ht="15.95" customHeight="1">
      <c r="A37" s="387"/>
      <c r="B37" s="387"/>
      <c r="C37" s="387"/>
      <c r="D37" s="387"/>
      <c r="E37" s="387"/>
      <c r="F37" s="388"/>
      <c r="G37" s="383" t="str">
        <f>IF(BW105=0,"",BW105)</f>
        <v/>
      </c>
      <c r="H37" t="s">
        <v>1309</v>
      </c>
      <c r="I37" s="5" t="str">
        <f t="shared" si="27"/>
        <v>Cast iron, Nodular Grap., Malleable, &lt; 700 N/mm2</v>
      </c>
      <c r="J37" s="5" t="s">
        <v>1397</v>
      </c>
      <c r="K37" s="5" t="s">
        <v>1383</v>
      </c>
      <c r="L37" s="40" t="s">
        <v>908</v>
      </c>
      <c r="M37" s="5" t="s">
        <v>1032</v>
      </c>
      <c r="N37" s="5" t="s">
        <v>133</v>
      </c>
      <c r="O37" s="5" t="s">
        <v>1301</v>
      </c>
      <c r="P37" s="5" t="s">
        <v>174</v>
      </c>
      <c r="Q37" s="5" t="s">
        <v>1076</v>
      </c>
      <c r="R37" s="5" t="s">
        <v>435</v>
      </c>
      <c r="S37" s="5" t="s">
        <v>30</v>
      </c>
      <c r="T37" s="5" t="s">
        <v>228</v>
      </c>
      <c r="U37" s="5" t="s">
        <v>585</v>
      </c>
      <c r="V37" s="5" t="s">
        <v>288</v>
      </c>
      <c r="W37" s="5" t="s">
        <v>600</v>
      </c>
      <c r="X37" s="38" t="s">
        <v>454</v>
      </c>
      <c r="Y37" s="43" t="s">
        <v>1831</v>
      </c>
      <c r="Z37" s="39" t="s">
        <v>1832</v>
      </c>
      <c r="AA37" s="417" t="s">
        <v>1833</v>
      </c>
      <c r="AB37" s="5" t="s">
        <v>1058</v>
      </c>
      <c r="AD37" s="131">
        <v>36</v>
      </c>
      <c r="AE37" s="365">
        <v>1</v>
      </c>
      <c r="AF37" s="365">
        <v>3</v>
      </c>
      <c r="AG37" s="365">
        <v>2</v>
      </c>
      <c r="AH37" s="366" t="s">
        <v>1711</v>
      </c>
      <c r="AI37" s="352">
        <v>8</v>
      </c>
      <c r="AJ37" s="353">
        <v>7.62</v>
      </c>
      <c r="AK37" s="354">
        <v>3</v>
      </c>
      <c r="AL37" s="355">
        <v>16</v>
      </c>
      <c r="AM37" s="356">
        <v>20</v>
      </c>
      <c r="AN37" s="357">
        <v>63</v>
      </c>
      <c r="AO37" s="349">
        <v>9.125</v>
      </c>
      <c r="AP37" s="55">
        <f t="shared" si="28"/>
        <v>36</v>
      </c>
      <c r="AQ37" s="16" t="b">
        <f t="shared" si="1"/>
        <v>0</v>
      </c>
      <c r="AR37" s="16" t="b">
        <f t="shared" si="2"/>
        <v>0</v>
      </c>
      <c r="AS37" s="16">
        <f t="shared" si="3"/>
        <v>36</v>
      </c>
      <c r="AT37" s="16" t="b">
        <f t="shared" si="4"/>
        <v>0</v>
      </c>
      <c r="AU37" s="16" t="b">
        <f t="shared" si="5"/>
        <v>0</v>
      </c>
      <c r="BA37" s="12"/>
      <c r="BB37" s="7"/>
      <c r="BC37" s="9"/>
      <c r="BD37" s="9"/>
      <c r="BE37" s="9"/>
      <c r="BF37" s="9"/>
      <c r="BG37" s="9"/>
      <c r="BH37" s="171"/>
      <c r="BI37" s="172">
        <v>2</v>
      </c>
      <c r="BJ37" s="170" t="s">
        <v>912</v>
      </c>
      <c r="BK37" s="169"/>
      <c r="BO37" s="229" t="s">
        <v>913</v>
      </c>
      <c r="BP37" s="230">
        <v>1</v>
      </c>
      <c r="BS37" s="14">
        <v>1010131</v>
      </c>
      <c r="BT37" s="14">
        <f t="shared" si="13"/>
        <v>0</v>
      </c>
      <c r="BV37" s="8"/>
      <c r="BY37" s="23" t="str">
        <f t="shared" si="11"/>
        <v/>
      </c>
      <c r="CS37" s="375"/>
      <c r="CT37" s="375"/>
      <c r="CU37" s="375"/>
      <c r="CV37" s="375"/>
      <c r="CW37" s="375"/>
      <c r="CX37" s="375"/>
      <c r="CY37" s="375"/>
      <c r="CZ37" s="375"/>
      <c r="DA37" s="375"/>
      <c r="DB37" s="375"/>
      <c r="DC37" s="375"/>
      <c r="DD37" s="375"/>
      <c r="DE37" s="375"/>
      <c r="DF37" s="375"/>
      <c r="DG37" s="375"/>
      <c r="DH37" s="375"/>
      <c r="DI37" s="375"/>
      <c r="DJ37" s="375"/>
      <c r="DN37" s="375"/>
      <c r="DQ37" s="375"/>
      <c r="DR37" s="375"/>
      <c r="DS37" s="375"/>
      <c r="DT37" s="375"/>
      <c r="DU37" s="375"/>
      <c r="DV37" s="375"/>
      <c r="DW37" s="375"/>
      <c r="DX37" s="375"/>
      <c r="DY37" s="375"/>
      <c r="DZ37" s="375"/>
      <c r="EA37" s="375"/>
      <c r="EB37" s="375"/>
      <c r="EC37" s="375"/>
      <c r="ED37" s="375"/>
      <c r="EE37" s="375"/>
      <c r="EF37" s="375"/>
      <c r="EM37" s="23" t="str">
        <f>CONCATENATE(HS37,HT37,HU37,HV37,HW37,HX37,HY37,HZ37,IA37,IB37,IC37,ID37,IE37,IF37)</f>
        <v/>
      </c>
      <c r="EX37" s="14"/>
      <c r="FC37" s="24"/>
      <c r="FD37" s="14"/>
      <c r="FE37" s="14"/>
      <c r="FF37" s="14"/>
      <c r="FG37" s="14"/>
      <c r="FH37" s="14"/>
      <c r="FI37" s="14"/>
      <c r="FJ37" s="14"/>
      <c r="FK37" s="14"/>
      <c r="FL37" s="14"/>
      <c r="FM37" s="14"/>
      <c r="FN37" s="14"/>
      <c r="FO37" s="14"/>
      <c r="FP37" s="14"/>
      <c r="FQ37" s="14"/>
      <c r="FR37" s="26"/>
      <c r="IA37"/>
      <c r="IG37" s="24"/>
      <c r="IH37" s="14"/>
      <c r="II37" s="14"/>
      <c r="IJ37" s="14"/>
      <c r="IK37" s="14"/>
      <c r="IL37" s="24"/>
      <c r="IM37" s="14"/>
      <c r="IN37" s="14"/>
      <c r="IO37" s="14"/>
      <c r="IP37" s="14"/>
      <c r="IQ37" s="14"/>
      <c r="IR37" s="14"/>
      <c r="IS37" s="14"/>
      <c r="IT37" s="14"/>
      <c r="IU37" s="14"/>
      <c r="IV37" s="14"/>
      <c r="IW37" s="14"/>
      <c r="IX37" s="14"/>
      <c r="IY37" s="14"/>
      <c r="IZ37" s="14"/>
    </row>
    <row r="38" spans="1:260" ht="15.95" customHeight="1">
      <c r="A38" s="387"/>
      <c r="B38" s="387"/>
      <c r="C38" s="387"/>
      <c r="D38" s="387"/>
      <c r="E38" s="387"/>
      <c r="F38" s="415" t="s">
        <v>894</v>
      </c>
      <c r="G38" s="383" t="str">
        <f>IF(BW108=0,"",BW108)</f>
        <v/>
      </c>
      <c r="H38" t="s">
        <v>1305</v>
      </c>
      <c r="I38" s="5" t="str">
        <f t="shared" si="27"/>
        <v>Cast iron, Nodular Grap., Malleable, &lt; 1000 N/mm2</v>
      </c>
      <c r="J38" s="5" t="s">
        <v>722</v>
      </c>
      <c r="K38" s="5" t="s">
        <v>703</v>
      </c>
      <c r="L38" s="40" t="s">
        <v>914</v>
      </c>
      <c r="M38" s="5" t="s">
        <v>1033</v>
      </c>
      <c r="N38" s="5" t="s">
        <v>134</v>
      </c>
      <c r="O38" s="5" t="s">
        <v>1295</v>
      </c>
      <c r="P38" s="5" t="s">
        <v>182</v>
      </c>
      <c r="Q38" s="5" t="s">
        <v>1077</v>
      </c>
      <c r="R38" s="5" t="s">
        <v>438</v>
      </c>
      <c r="S38" s="5" t="s">
        <v>20</v>
      </c>
      <c r="T38" s="5" t="s">
        <v>229</v>
      </c>
      <c r="U38" s="5" t="s">
        <v>586</v>
      </c>
      <c r="V38" s="5" t="s">
        <v>289</v>
      </c>
      <c r="W38" s="5" t="s">
        <v>726</v>
      </c>
      <c r="X38" s="38" t="s">
        <v>455</v>
      </c>
      <c r="Y38" s="43" t="s">
        <v>1834</v>
      </c>
      <c r="Z38" s="39" t="s">
        <v>1835</v>
      </c>
      <c r="AA38" s="417" t="s">
        <v>1836</v>
      </c>
      <c r="AB38" s="5" t="s">
        <v>1059</v>
      </c>
      <c r="AD38" s="131">
        <v>37</v>
      </c>
      <c r="AE38" s="365">
        <v>1</v>
      </c>
      <c r="AF38" s="365">
        <v>3</v>
      </c>
      <c r="AG38" s="365">
        <v>2</v>
      </c>
      <c r="AH38" s="366" t="s">
        <v>1712</v>
      </c>
      <c r="AI38" s="352">
        <v>8</v>
      </c>
      <c r="AJ38" s="353">
        <v>6.24</v>
      </c>
      <c r="AK38" s="354">
        <v>3</v>
      </c>
      <c r="AL38" s="355">
        <v>18</v>
      </c>
      <c r="AM38" s="356">
        <v>16.7</v>
      </c>
      <c r="AN38" s="357">
        <v>63</v>
      </c>
      <c r="AO38" s="349">
        <v>7.7374999999999998</v>
      </c>
      <c r="AP38" s="55">
        <f t="shared" si="28"/>
        <v>37</v>
      </c>
      <c r="AQ38" s="16">
        <f t="shared" si="1"/>
        <v>37</v>
      </c>
      <c r="AR38" s="16" t="b">
        <f t="shared" si="2"/>
        <v>0</v>
      </c>
      <c r="AS38" s="16" t="b">
        <f t="shared" si="3"/>
        <v>0</v>
      </c>
      <c r="AT38" s="16" t="b">
        <f t="shared" si="4"/>
        <v>0</v>
      </c>
      <c r="AU38" s="16" t="b">
        <f t="shared" si="5"/>
        <v>0</v>
      </c>
      <c r="BA38" s="12"/>
      <c r="BB38" s="7"/>
      <c r="BC38" s="9"/>
      <c r="BD38" s="9"/>
      <c r="BE38" s="9"/>
      <c r="BF38" s="9"/>
      <c r="BG38" s="9"/>
      <c r="BH38" s="171"/>
      <c r="BI38" s="172">
        <v>3</v>
      </c>
      <c r="BJ38" s="170" t="s">
        <v>918</v>
      </c>
      <c r="BK38" s="167"/>
      <c r="BL38" s="9"/>
      <c r="BS38" s="14">
        <v>1010132</v>
      </c>
      <c r="BT38" s="14">
        <f t="shared" si="13"/>
        <v>0</v>
      </c>
      <c r="BV38" s="8"/>
      <c r="BY38" s="23" t="str">
        <f t="shared" si="11"/>
        <v/>
      </c>
      <c r="CS38" s="375"/>
      <c r="CT38" s="375"/>
      <c r="CU38" s="375"/>
      <c r="CV38" s="375"/>
      <c r="CW38" s="375"/>
      <c r="CX38" s="375"/>
      <c r="CY38" s="375"/>
      <c r="CZ38" s="375"/>
      <c r="DA38" s="375"/>
      <c r="DB38" s="375"/>
      <c r="DC38" s="375"/>
      <c r="DD38" s="375"/>
      <c r="DE38" s="375"/>
      <c r="DF38" s="375"/>
      <c r="DG38" s="375"/>
      <c r="DH38" s="375"/>
      <c r="DI38" s="375"/>
      <c r="DJ38" s="375"/>
      <c r="DN38" s="375"/>
      <c r="DQ38" s="375"/>
      <c r="DR38" s="375"/>
      <c r="DS38" s="375"/>
      <c r="DT38" s="375"/>
      <c r="DU38" s="375"/>
      <c r="DV38" s="375"/>
      <c r="DW38" s="375"/>
      <c r="DX38" s="375"/>
      <c r="DY38" s="375"/>
      <c r="DZ38" s="375"/>
      <c r="EA38" s="375"/>
      <c r="EB38" s="375"/>
      <c r="EC38" s="375"/>
      <c r="ED38" s="375"/>
      <c r="EE38" s="375"/>
      <c r="EF38" s="375"/>
      <c r="EM38" s="23" t="str">
        <f>CONCATENATE(HS38,HT38,HU38,HV38,HW38,HX38,HY38,HZ38,IA38,IB38,IC38,ID38,IE38,IF38)</f>
        <v/>
      </c>
      <c r="EX38" s="14"/>
      <c r="FC38" s="24"/>
      <c r="FD38" s="14"/>
      <c r="FE38" s="14"/>
      <c r="FF38" s="14"/>
      <c r="FG38" s="14"/>
      <c r="FH38" s="14"/>
      <c r="FI38" s="14"/>
      <c r="FJ38" s="14"/>
      <c r="FK38" s="14"/>
      <c r="FL38" s="14"/>
      <c r="FM38" s="14"/>
      <c r="FN38" s="14"/>
      <c r="FO38" s="14"/>
      <c r="FP38" s="14"/>
      <c r="FQ38" s="14"/>
      <c r="IA38"/>
      <c r="IG38" s="24"/>
      <c r="IH38" s="14"/>
      <c r="II38" s="14"/>
      <c r="IJ38" s="14"/>
      <c r="IK38" s="14"/>
      <c r="IL38" s="26">
        <v>4</v>
      </c>
      <c r="IM38" s="14" t="s">
        <v>180</v>
      </c>
      <c r="IN38" s="14" t="s">
        <v>1756</v>
      </c>
      <c r="IO38" s="14" t="s">
        <v>644</v>
      </c>
      <c r="IP38" s="14" t="s">
        <v>1350</v>
      </c>
      <c r="IQ38" s="14" t="s">
        <v>1352</v>
      </c>
      <c r="IR38" s="10">
        <f>-BP55</f>
        <v>3.375</v>
      </c>
      <c r="IS38" s="14" t="s">
        <v>841</v>
      </c>
      <c r="IT38" s="14">
        <f>ROUND(BM51*0.5,0)</f>
        <v>35</v>
      </c>
      <c r="IU38" s="14"/>
      <c r="IV38" s="14"/>
      <c r="IW38" s="14"/>
      <c r="IX38" s="16"/>
      <c r="IY38" s="16"/>
      <c r="IZ38" s="16"/>
    </row>
    <row r="39" spans="1:260" ht="15.95" customHeight="1">
      <c r="A39" s="387"/>
      <c r="B39" s="389"/>
      <c r="C39" s="387"/>
      <c r="D39" s="387"/>
      <c r="E39" s="387"/>
      <c r="F39" s="388"/>
      <c r="G39" s="383" t="str">
        <f>IF(BW111=0,"",BW111)</f>
        <v/>
      </c>
      <c r="H39" t="s">
        <v>1112</v>
      </c>
      <c r="I39" s="5" t="str">
        <f t="shared" si="27"/>
        <v>Stainless steel, Free Machining</v>
      </c>
      <c r="J39" s="5" t="s">
        <v>542</v>
      </c>
      <c r="K39" s="5" t="s">
        <v>704</v>
      </c>
      <c r="L39" s="40" t="s">
        <v>919</v>
      </c>
      <c r="M39" s="5" t="s">
        <v>1034</v>
      </c>
      <c r="N39" s="5" t="s">
        <v>593</v>
      </c>
      <c r="O39" s="5" t="s">
        <v>1296</v>
      </c>
      <c r="P39" s="5" t="s">
        <v>364</v>
      </c>
      <c r="Q39" s="5" t="s">
        <v>1078</v>
      </c>
      <c r="R39" s="5" t="s">
        <v>439</v>
      </c>
      <c r="S39" s="5" t="s">
        <v>21</v>
      </c>
      <c r="T39" s="5" t="s">
        <v>230</v>
      </c>
      <c r="U39" s="5" t="s">
        <v>587</v>
      </c>
      <c r="V39" s="5" t="s">
        <v>533</v>
      </c>
      <c r="W39" s="5" t="s">
        <v>727</v>
      </c>
      <c r="X39" s="38" t="s">
        <v>398</v>
      </c>
      <c r="Y39" s="43" t="s">
        <v>1837</v>
      </c>
      <c r="Z39" s="39" t="s">
        <v>1838</v>
      </c>
      <c r="AA39" s="417" t="s">
        <v>1839</v>
      </c>
      <c r="AB39" s="5" t="s">
        <v>1060</v>
      </c>
      <c r="AD39" s="131">
        <v>38</v>
      </c>
      <c r="AE39" s="348">
        <v>1</v>
      </c>
      <c r="AF39" s="348">
        <v>3</v>
      </c>
      <c r="AG39" s="348">
        <v>2</v>
      </c>
      <c r="AH39" s="351" t="s">
        <v>1713</v>
      </c>
      <c r="AI39" s="352">
        <v>6</v>
      </c>
      <c r="AJ39" s="353">
        <v>4.83</v>
      </c>
      <c r="AK39" s="354">
        <v>3</v>
      </c>
      <c r="AL39" s="355">
        <v>20</v>
      </c>
      <c r="AM39" s="356">
        <v>13.3</v>
      </c>
      <c r="AN39" s="357">
        <v>57</v>
      </c>
      <c r="AO39" s="349">
        <v>6.15</v>
      </c>
      <c r="AP39" s="55">
        <f t="shared" si="28"/>
        <v>38</v>
      </c>
      <c r="AQ39" s="16">
        <f t="shared" si="1"/>
        <v>38</v>
      </c>
      <c r="AR39" s="16" t="b">
        <f t="shared" si="2"/>
        <v>0</v>
      </c>
      <c r="AS39" s="16" t="b">
        <f t="shared" si="3"/>
        <v>0</v>
      </c>
      <c r="AT39" s="16" t="b">
        <f t="shared" si="4"/>
        <v>0</v>
      </c>
      <c r="AU39" s="16" t="b">
        <f t="shared" si="5"/>
        <v>0</v>
      </c>
      <c r="BA39" s="12"/>
      <c r="BB39" s="7"/>
      <c r="BC39" s="9"/>
      <c r="BD39" s="9"/>
      <c r="BE39" s="9"/>
      <c r="BF39" s="9"/>
      <c r="BG39" s="9"/>
      <c r="BJ39" s="9"/>
      <c r="BK39" s="9"/>
      <c r="BL39" s="9"/>
      <c r="BP39" s="16">
        <f>LOOKUP(BE12,AD2:AD198,AF2:AF198)</f>
        <v>1</v>
      </c>
      <c r="BS39" s="14"/>
      <c r="BT39" s="14"/>
      <c r="BV39" s="8">
        <v>13</v>
      </c>
      <c r="BW39" s="54" t="str">
        <f>LOOKUP(BT$54,BX$2:EM$2,BX39:EM39)</f>
        <v/>
      </c>
      <c r="BY39" s="23" t="str">
        <f t="shared" si="11"/>
        <v/>
      </c>
      <c r="BZ39" s="23" t="str">
        <f>BY21</f>
        <v>G03 X-4.063 Y3.375 Z0.313 R3,433</v>
      </c>
      <c r="CA39" s="23" t="str">
        <f>FS39</f>
        <v>#2=#2+1</v>
      </c>
      <c r="CB39" s="23" t="str">
        <f>BZ30</f>
        <v>G41 D10 X0. Y-3,375 F40</v>
      </c>
      <c r="CC39" s="4" t="str">
        <f>BY24</f>
        <v>G00 G40 X0. Y-3.375</v>
      </c>
      <c r="CD39" s="23" t="str">
        <f>BZ24</f>
        <v>G00 G40 X0. Y-3.375</v>
      </c>
      <c r="CF39" s="23" t="str">
        <f>BZ39</f>
        <v>G03 X-4.063 Y3.375 Z0.313 R3,433</v>
      </c>
      <c r="CH39" s="375" t="str">
        <f>$CF$36</f>
        <v>G03 X0. Y0. Z1.25 I-4.063 J0. F80</v>
      </c>
      <c r="CJ39" s="23" t="str">
        <f>$CF$33</f>
        <v>G03 X4.063 Y3.375 Z0.313 R3,433</v>
      </c>
      <c r="CK39" s="23" t="str">
        <f>CG33</f>
        <v>M30</v>
      </c>
      <c r="CL39" s="23" t="str">
        <f>$CF$30</f>
        <v>G41 D10 X0. Y-3,375 F40</v>
      </c>
      <c r="CM39" s="23" t="str">
        <f>CG30</f>
        <v>G90 G49 G00 Z200. M5</v>
      </c>
      <c r="CN39" s="23" t="str">
        <f>$CF$27</f>
        <v>G00 Z-16.875</v>
      </c>
      <c r="CO39" s="23" t="str">
        <f>CG27</f>
        <v>G00 G40 X0. Y-3.375</v>
      </c>
      <c r="CP39" s="23" t="str">
        <f>$CF$24</f>
        <v>G00 G40 X0. Y-3.375</v>
      </c>
      <c r="CQ39" s="23" t="str">
        <f>CG24</f>
        <v>G03 X-4.063 Y3.375 Z0.313 R3,433</v>
      </c>
      <c r="CR39" s="23" t="str">
        <f>$CF$21</f>
        <v>G03 X-3.84 Y3.375 Z0.313 R3,403</v>
      </c>
      <c r="CS39" s="375" t="str">
        <f>CG21</f>
        <v>G03 X0. Y0. Z1.25 I-4.063 J0.</v>
      </c>
      <c r="CT39" s="375" t="str">
        <f>$CH$21</f>
        <v>G03 X0. Y0. Z1.25 I-3.84 J0.</v>
      </c>
      <c r="CU39" s="375" t="str">
        <f>$CG$21</f>
        <v>G03 X0. Y0. Z1.25 I-4.063 J0.</v>
      </c>
      <c r="CV39" s="375" t="str">
        <f>$CH$21</f>
        <v>G03 X0. Y0. Z1.25 I-3.84 J0.</v>
      </c>
      <c r="CW39" s="375" t="str">
        <f>$CG$21</f>
        <v>G03 X0. Y0. Z1.25 I-4.063 J0.</v>
      </c>
      <c r="CX39" s="375" t="str">
        <f>$CH$21</f>
        <v>G03 X0. Y0. Z1.25 I-3.84 J0.</v>
      </c>
      <c r="CY39" s="375" t="str">
        <f>$CG$21</f>
        <v>G03 X0. Y0. Z1.25 I-4.063 J0.</v>
      </c>
      <c r="CZ39" s="375" t="str">
        <f>$CH$21</f>
        <v>G03 X0. Y0. Z1.25 I-3.84 J0.</v>
      </c>
      <c r="DA39" s="375" t="str">
        <f>$CG$21</f>
        <v>G03 X0. Y0. Z1.25 I-4.063 J0.</v>
      </c>
      <c r="DB39" s="375" t="str">
        <f>$CH$21</f>
        <v>G03 X0. Y0. Z1.25 I-3.84 J0.</v>
      </c>
      <c r="DC39" s="375" t="str">
        <f>$CG$21</f>
        <v>G03 X0. Y0. Z1.25 I-4.063 J0.</v>
      </c>
      <c r="DD39" s="375" t="str">
        <f>$CH$21</f>
        <v>G03 X0. Y0. Z1.25 I-3.84 J0.</v>
      </c>
      <c r="DE39" s="375"/>
      <c r="DF39" s="23" t="str">
        <f>DE21</f>
        <v>G02 X-4.063 Y-3.375 Z-0.313 R3,433</v>
      </c>
      <c r="DG39" s="375"/>
      <c r="DH39" s="375" t="str">
        <f>$DF$36</f>
        <v>G02 X0. Y0. Z-1.25 I-4.063 J0. F80</v>
      </c>
      <c r="DI39" s="375"/>
      <c r="DJ39" s="23" t="str">
        <f>$DF$33</f>
        <v>G02 X4.063 Y-3.375 Z-0.313 R3,433</v>
      </c>
      <c r="DK39" s="23" t="str">
        <f>$DE$30</f>
        <v>M30</v>
      </c>
      <c r="DL39" s="23" t="str">
        <f>$DF$30</f>
        <v>G91 G42 D10 X0. Y3,375 F40</v>
      </c>
      <c r="DM39" s="23" t="str">
        <f>$DE$27</f>
        <v>G90 G49 G00 Z200. M5</v>
      </c>
      <c r="DN39" s="23" t="str">
        <f>$DF$27</f>
        <v>G90 G00 Z0.313</v>
      </c>
      <c r="DO39" s="23" t="str">
        <f>$DE$24</f>
        <v>G00 G40 X0. Y3.375</v>
      </c>
      <c r="DP39" s="23" t="str">
        <f>$DF$24</f>
        <v>G00 G40 X0. Y3.375</v>
      </c>
      <c r="DQ39" s="23" t="str">
        <f>$DE$21</f>
        <v>G02 X-4.063 Y-3.375 Z-0.313 R3,433</v>
      </c>
      <c r="DR39" s="23" t="str">
        <f>$DF$21</f>
        <v>G02 X-3.84 Y-3.375 Z-0.313 R3,403</v>
      </c>
      <c r="DS39" s="375" t="str">
        <f>$DG$21</f>
        <v>G02 X0. Y0. Z-1.25 I-4.063 J0.</v>
      </c>
      <c r="DT39" s="375" t="str">
        <f t="shared" si="20"/>
        <v>G02 X0. Y0. Z-1.25 I-3.84 J0.</v>
      </c>
      <c r="DU39" s="375" t="str">
        <f>$DG$21</f>
        <v>G02 X0. Y0. Z-1.25 I-4.063 J0.</v>
      </c>
      <c r="DV39" s="375" t="str">
        <f t="shared" si="21"/>
        <v>G02 X0. Y0. Z-1.25 I-3.84 J0.</v>
      </c>
      <c r="DW39" s="375" t="str">
        <f>$DG$21</f>
        <v>G02 X0. Y0. Z-1.25 I-4.063 J0.</v>
      </c>
      <c r="DX39" s="375" t="str">
        <f t="shared" si="22"/>
        <v>G02 X0. Y0. Z-1.25 I-3.84 J0.</v>
      </c>
      <c r="DY39" s="375" t="str">
        <f>$DG$21</f>
        <v>G02 X0. Y0. Z-1.25 I-4.063 J0.</v>
      </c>
      <c r="DZ39" s="375" t="str">
        <f t="shared" si="23"/>
        <v>G02 X0. Y0. Z-1.25 I-3.84 J0.</v>
      </c>
      <c r="EA39" s="375" t="str">
        <f>$DG$21</f>
        <v>G02 X0. Y0. Z-1.25 I-4.063 J0.</v>
      </c>
      <c r="EB39" s="375" t="str">
        <f t="shared" si="24"/>
        <v>G02 X0. Y0. Z-1.25 I-3.84 J0.</v>
      </c>
      <c r="EC39" s="375" t="str">
        <f>$DG$21</f>
        <v>G02 X0. Y0. Z-1.25 I-4.063 J0.</v>
      </c>
      <c r="ED39" s="375" t="str">
        <f t="shared" si="25"/>
        <v>G02 X0. Y0. Z-1.25 I-3.84 J0.</v>
      </c>
      <c r="EE39" s="375" t="str">
        <f>$DG$21</f>
        <v>G02 X0. Y0. Z-1.25 I-4.063 J0.</v>
      </c>
      <c r="EF39" s="375" t="str">
        <f t="shared" si="26"/>
        <v>G02 X0. Y0. Z-1.25 I-3.84 J0.</v>
      </c>
      <c r="EG39" s="23" t="str">
        <f>BY30</f>
        <v>G90 G49 G00 Z200. M5</v>
      </c>
      <c r="EH39" s="23" t="str">
        <f>EG12</f>
        <v>G41 D10 X0. Y-3,375 F40</v>
      </c>
      <c r="EI39" s="23" t="str">
        <f>BY33</f>
        <v>M30</v>
      </c>
      <c r="EJ39" s="23" t="str">
        <f>BZ33</f>
        <v>G03 X4.063 Y3.375 Z0.313 R3,433</v>
      </c>
      <c r="EK39" s="23" t="str">
        <f>EG33</f>
        <v>G00 G40 X0. Y-3.375</v>
      </c>
      <c r="EL39" s="23" t="str">
        <f>EH33</f>
        <v>G00 G40 X0. Y-3.375</v>
      </c>
      <c r="EM39" s="23" t="str">
        <f>CONCATENATE(HS39,HT39,HU39,HV39,HW39,HX39,HY39,HZ39,IA39,IB39,IC39,ID39,IE39,IF39)</f>
        <v/>
      </c>
      <c r="EX39" s="14"/>
      <c r="FC39" s="24"/>
      <c r="FD39" s="14"/>
      <c r="FE39" s="14"/>
      <c r="FF39" s="14"/>
      <c r="FG39" s="14"/>
      <c r="FH39" s="14"/>
      <c r="FI39" s="14"/>
      <c r="FJ39" s="14"/>
      <c r="FK39" s="14"/>
      <c r="FL39" s="14"/>
      <c r="FM39" s="14"/>
      <c r="FN39" s="14"/>
      <c r="FO39" s="14"/>
      <c r="FP39" s="14"/>
      <c r="FQ39" s="14"/>
      <c r="FR39" s="26">
        <v>13</v>
      </c>
      <c r="FS39" s="53" t="s">
        <v>788</v>
      </c>
      <c r="IG39" s="24"/>
      <c r="IH39" s="14"/>
      <c r="II39" s="14"/>
      <c r="IJ39" s="14"/>
      <c r="IK39" s="14"/>
      <c r="IL39" s="26"/>
      <c r="IM39" s="14"/>
      <c r="IN39" s="14"/>
      <c r="IO39" s="103">
        <f>ROUND(BJ51/2,3)</f>
        <v>3.84</v>
      </c>
      <c r="IP39" s="103"/>
      <c r="IQ39" s="101">
        <f>BP55</f>
        <v>-3.375</v>
      </c>
      <c r="IR39" s="103"/>
      <c r="IS39" s="103">
        <f>ROUND(-BP54,3)</f>
        <v>-0.313</v>
      </c>
      <c r="IT39" s="14"/>
      <c r="IU39" s="14"/>
      <c r="IV39" s="14"/>
      <c r="IW39" s="14"/>
      <c r="IX39" s="16"/>
      <c r="IY39" s="16"/>
      <c r="IZ39" s="16"/>
    </row>
    <row r="40" spans="1:260" ht="15.95" customHeight="1">
      <c r="G40" s="5" t="str">
        <f>IF(BW114=0,"",BW114)</f>
        <v/>
      </c>
      <c r="H40" t="s">
        <v>687</v>
      </c>
      <c r="I40" s="5" t="str">
        <f t="shared" si="27"/>
        <v>Stainless steel, Austenitic</v>
      </c>
      <c r="J40" s="5" t="s">
        <v>1322</v>
      </c>
      <c r="K40" s="5" t="s">
        <v>629</v>
      </c>
      <c r="L40" s="40" t="s">
        <v>923</v>
      </c>
      <c r="M40" s="5" t="s">
        <v>1035</v>
      </c>
      <c r="N40" s="5" t="s">
        <v>594</v>
      </c>
      <c r="O40" s="5" t="s">
        <v>1297</v>
      </c>
      <c r="P40" s="5" t="s">
        <v>365</v>
      </c>
      <c r="Q40" s="5" t="s">
        <v>1079</v>
      </c>
      <c r="R40" s="5" t="s">
        <v>120</v>
      </c>
      <c r="S40" s="5" t="s">
        <v>22</v>
      </c>
      <c r="T40" s="5" t="s">
        <v>231</v>
      </c>
      <c r="U40" s="5" t="s">
        <v>528</v>
      </c>
      <c r="V40" s="5" t="s">
        <v>281</v>
      </c>
      <c r="W40" s="5" t="s">
        <v>728</v>
      </c>
      <c r="X40" s="38" t="s">
        <v>406</v>
      </c>
      <c r="Y40" s="43" t="s">
        <v>1840</v>
      </c>
      <c r="Z40" s="39" t="s">
        <v>1841</v>
      </c>
      <c r="AA40" s="417" t="s">
        <v>1842</v>
      </c>
      <c r="AB40" s="5" t="s">
        <v>1061</v>
      </c>
      <c r="AD40" s="131">
        <v>39</v>
      </c>
      <c r="AE40" s="348">
        <v>1</v>
      </c>
      <c r="AF40" s="348">
        <v>3</v>
      </c>
      <c r="AG40" s="348">
        <v>2</v>
      </c>
      <c r="AH40" s="351" t="s">
        <v>1714</v>
      </c>
      <c r="AI40" s="352">
        <v>6</v>
      </c>
      <c r="AJ40" s="353">
        <v>4.22</v>
      </c>
      <c r="AK40" s="354">
        <v>3</v>
      </c>
      <c r="AL40" s="355">
        <v>24</v>
      </c>
      <c r="AM40" s="356">
        <v>11.5</v>
      </c>
      <c r="AN40" s="357">
        <v>57</v>
      </c>
      <c r="AO40" s="349">
        <v>5.2859999999999996</v>
      </c>
      <c r="AP40" s="55">
        <f t="shared" si="28"/>
        <v>39</v>
      </c>
      <c r="AQ40" s="16">
        <f t="shared" si="1"/>
        <v>39</v>
      </c>
      <c r="AR40" s="16" t="b">
        <f t="shared" si="2"/>
        <v>0</v>
      </c>
      <c r="AS40" s="16" t="b">
        <f t="shared" si="3"/>
        <v>0</v>
      </c>
      <c r="AT40" s="16" t="b">
        <f t="shared" si="4"/>
        <v>0</v>
      </c>
      <c r="AU40" s="16" t="b">
        <f t="shared" si="5"/>
        <v>0</v>
      </c>
      <c r="BA40" s="12"/>
      <c r="BB40" s="7"/>
      <c r="BC40" s="9"/>
      <c r="BD40" s="9"/>
      <c r="BE40" s="9"/>
      <c r="BF40" s="9"/>
      <c r="BG40" s="9"/>
      <c r="BH40" s="159" t="s">
        <v>152</v>
      </c>
      <c r="BI40" s="160">
        <v>1</v>
      </c>
      <c r="BJ40" s="161" t="s">
        <v>153</v>
      </c>
      <c r="BK40" s="9"/>
      <c r="BL40" s="9"/>
      <c r="BP40" s="16" t="b">
        <f>ISNA(BP39)</f>
        <v>0</v>
      </c>
      <c r="BS40" s="14"/>
      <c r="BT40" s="14"/>
      <c r="BV40" s="8"/>
      <c r="BY40" s="23" t="str">
        <f t="shared" si="11"/>
        <v/>
      </c>
      <c r="CS40" s="375"/>
      <c r="CT40" s="375"/>
      <c r="CV40" s="375"/>
      <c r="CW40" s="375"/>
      <c r="CX40" s="375"/>
      <c r="CY40" s="375"/>
      <c r="CZ40" s="375"/>
      <c r="DA40" s="375"/>
      <c r="DB40" s="375"/>
      <c r="DD40" s="375"/>
      <c r="DE40" s="375"/>
      <c r="DG40" s="375"/>
      <c r="DI40" s="375"/>
      <c r="DJ40" s="375"/>
      <c r="DK40" s="375"/>
      <c r="DL40" s="375"/>
      <c r="DP40" s="375"/>
      <c r="DU40" s="375"/>
      <c r="DV40" s="375"/>
      <c r="DW40" s="375"/>
      <c r="DX40" s="375"/>
      <c r="DY40" s="375"/>
      <c r="DZ40" s="375"/>
      <c r="EA40" s="375"/>
      <c r="EB40" s="375"/>
      <c r="EC40" s="375"/>
      <c r="ED40" s="375"/>
      <c r="EE40" s="375"/>
      <c r="EF40" s="375"/>
      <c r="EX40" s="14"/>
      <c r="FC40" s="24"/>
      <c r="FD40" s="14"/>
      <c r="FE40" s="14"/>
      <c r="FF40" s="14"/>
      <c r="FG40" s="14"/>
      <c r="FH40" s="14"/>
      <c r="FI40" s="14"/>
      <c r="FJ40" s="14"/>
      <c r="FK40" s="14"/>
      <c r="FL40" s="14"/>
      <c r="FM40" s="14"/>
      <c r="FN40" s="14"/>
      <c r="FO40" s="14"/>
      <c r="FP40" s="14"/>
      <c r="FQ40" s="14"/>
      <c r="FR40" s="26"/>
      <c r="FZ40" s="14">
        <f>ROUND(-ER7-EU13-(BP48*EU16)-EU19,3)</f>
        <v>2.6869999999999998</v>
      </c>
      <c r="GC40"/>
      <c r="GD40"/>
      <c r="GE40" s="14">
        <f>ROUND(-EU13-(BP48*EU16)-EU19,3)</f>
        <v>-18.126000000000001</v>
      </c>
      <c r="GF40"/>
      <c r="IG40" s="24"/>
      <c r="IH40" s="14"/>
      <c r="II40" s="14"/>
      <c r="IJ40" s="14"/>
      <c r="IK40" s="14"/>
      <c r="IO40" s="102">
        <f>INT(IO39)</f>
        <v>3</v>
      </c>
      <c r="IP40" s="102"/>
      <c r="IQ40" s="102">
        <f>INT(IQ39)</f>
        <v>-4</v>
      </c>
      <c r="IR40" s="102"/>
      <c r="IS40" s="102">
        <f>INT(IS39)</f>
        <v>-1</v>
      </c>
      <c r="IX40" s="16"/>
      <c r="IY40" s="16"/>
      <c r="IZ40" s="16"/>
    </row>
    <row r="41" spans="1:260" ht="15.95" customHeight="1">
      <c r="G41" s="5" t="str">
        <f>IF(BW117=0,"",BW117)</f>
        <v/>
      </c>
      <c r="H41" t="s">
        <v>621</v>
      </c>
      <c r="I41" s="5" t="str">
        <f t="shared" si="27"/>
        <v>Stainless steel, Ferritic and Austenitic</v>
      </c>
      <c r="J41" s="5" t="s">
        <v>668</v>
      </c>
      <c r="K41" s="5" t="s">
        <v>1424</v>
      </c>
      <c r="L41" s="40" t="s">
        <v>927</v>
      </c>
      <c r="M41" s="5" t="s">
        <v>1036</v>
      </c>
      <c r="N41" s="5" t="s">
        <v>740</v>
      </c>
      <c r="O41" s="5" t="s">
        <v>59</v>
      </c>
      <c r="P41" s="5" t="s">
        <v>370</v>
      </c>
      <c r="Q41" s="5" t="s">
        <v>1080</v>
      </c>
      <c r="R41" s="5" t="s">
        <v>418</v>
      </c>
      <c r="S41" s="5" t="s">
        <v>1340</v>
      </c>
      <c r="T41" s="5" t="s">
        <v>232</v>
      </c>
      <c r="U41" s="5" t="s">
        <v>529</v>
      </c>
      <c r="V41" s="5" t="s">
        <v>282</v>
      </c>
      <c r="W41" s="5" t="s">
        <v>729</v>
      </c>
      <c r="X41" s="38" t="s">
        <v>407</v>
      </c>
      <c r="Y41" s="43" t="s">
        <v>1843</v>
      </c>
      <c r="Z41" s="39" t="s">
        <v>1844</v>
      </c>
      <c r="AA41" s="417" t="s">
        <v>1845</v>
      </c>
      <c r="AB41" s="5" t="s">
        <v>1100</v>
      </c>
      <c r="AD41" s="131">
        <v>40</v>
      </c>
      <c r="AE41" s="348">
        <v>1</v>
      </c>
      <c r="AF41" s="348">
        <v>3</v>
      </c>
      <c r="AG41" s="348">
        <v>2</v>
      </c>
      <c r="AH41" s="351" t="s">
        <v>1715</v>
      </c>
      <c r="AI41" s="352">
        <v>6</v>
      </c>
      <c r="AJ41" s="353">
        <v>3.56</v>
      </c>
      <c r="AK41" s="354">
        <v>3</v>
      </c>
      <c r="AL41" s="355">
        <v>24</v>
      </c>
      <c r="AM41" s="356">
        <v>10.1</v>
      </c>
      <c r="AN41" s="357">
        <v>57</v>
      </c>
      <c r="AO41" s="349">
        <v>4.6260000000000003</v>
      </c>
      <c r="AP41" s="55">
        <f t="shared" si="28"/>
        <v>40</v>
      </c>
      <c r="AQ41" s="16">
        <f t="shared" si="1"/>
        <v>40</v>
      </c>
      <c r="AR41" s="16" t="b">
        <f t="shared" si="2"/>
        <v>0</v>
      </c>
      <c r="AS41" s="16" t="b">
        <f t="shared" si="3"/>
        <v>0</v>
      </c>
      <c r="AT41" s="16" t="b">
        <f t="shared" si="4"/>
        <v>0</v>
      </c>
      <c r="AU41" s="16" t="b">
        <f t="shared" si="5"/>
        <v>0</v>
      </c>
      <c r="BA41" s="12"/>
      <c r="BB41" s="7"/>
      <c r="BC41" s="9"/>
      <c r="BD41" s="9"/>
      <c r="BE41" s="9"/>
      <c r="BF41" s="9"/>
      <c r="BG41" s="9"/>
      <c r="BH41" s="160"/>
      <c r="BI41" s="160">
        <v>2</v>
      </c>
      <c r="BJ41" s="161" t="s">
        <v>1741</v>
      </c>
      <c r="BK41" s="9"/>
      <c r="BL41" s="9"/>
      <c r="BP41" s="16">
        <f>IF(BP40=FALSE,BP39,"")</f>
        <v>1</v>
      </c>
      <c r="BS41" s="14"/>
      <c r="BT41" s="14"/>
      <c r="BV41" s="8"/>
      <c r="BY41" s="23" t="str">
        <f t="shared" si="11"/>
        <v/>
      </c>
      <c r="CS41" s="375"/>
      <c r="CT41" s="375"/>
      <c r="CV41" s="375"/>
      <c r="CW41" s="375"/>
      <c r="CX41" s="375"/>
      <c r="CY41" s="375"/>
      <c r="CZ41" s="375"/>
      <c r="DA41" s="375"/>
      <c r="DB41" s="375"/>
      <c r="DD41" s="375"/>
      <c r="DE41" s="375"/>
      <c r="DG41" s="375"/>
      <c r="DI41" s="375"/>
      <c r="DJ41" s="375"/>
      <c r="DK41" s="375"/>
      <c r="DL41" s="375"/>
      <c r="DP41" s="375"/>
      <c r="DU41" s="375"/>
      <c r="DV41" s="375"/>
      <c r="DW41" s="375"/>
      <c r="DX41" s="375"/>
      <c r="DY41" s="375"/>
      <c r="DZ41" s="375"/>
      <c r="EA41" s="375"/>
      <c r="EB41" s="375"/>
      <c r="EC41" s="375"/>
      <c r="ED41" s="375"/>
      <c r="EE41" s="375"/>
      <c r="EF41" s="375"/>
      <c r="EX41" s="14"/>
      <c r="FC41" s="24"/>
      <c r="FD41" s="14"/>
      <c r="FE41" s="14"/>
      <c r="FF41" s="14"/>
      <c r="FG41" s="14"/>
      <c r="FH41" s="14"/>
      <c r="FI41" s="14"/>
      <c r="FJ41" s="14"/>
      <c r="FK41" s="14"/>
      <c r="FL41" s="14"/>
      <c r="FM41" s="14"/>
      <c r="FN41" s="14"/>
      <c r="FO41" s="14"/>
      <c r="FP41" s="14"/>
      <c r="FQ41" s="14"/>
      <c r="FZ41" s="16">
        <f>INT(FZ40)</f>
        <v>2</v>
      </c>
      <c r="GC41"/>
      <c r="GD41"/>
      <c r="GE41" s="16">
        <f>INT(GE40)</f>
        <v>-19</v>
      </c>
      <c r="GF41"/>
      <c r="IG41" s="24"/>
      <c r="IH41" s="14"/>
      <c r="II41" s="14"/>
      <c r="IJ41" s="14"/>
      <c r="IK41" s="14"/>
      <c r="IL41" s="26">
        <v>5</v>
      </c>
      <c r="IM41" s="14" t="s">
        <v>1749</v>
      </c>
      <c r="IN41" s="14" t="s">
        <v>674</v>
      </c>
      <c r="IO41" s="14" t="str">
        <f>SUBSTITUTE(IO39,",",".")</f>
        <v>3.84</v>
      </c>
      <c r="IP41" s="14" t="str">
        <f>IF(IO39=IO40,". Y"," Y")</f>
        <v xml:space="preserve"> Y</v>
      </c>
      <c r="IQ41" s="14" t="str">
        <f>SUBSTITUTE(IQ39,",",".")</f>
        <v>-3.375</v>
      </c>
      <c r="IR41" s="14" t="str">
        <f>IF(IQ39=IQ40,". Z"," Z")</f>
        <v xml:space="preserve"> Z</v>
      </c>
      <c r="IS41" s="14" t="str">
        <f>SUBSTITUTE(IS39,",",".")</f>
        <v>-0.313</v>
      </c>
      <c r="IT41" s="418" t="str">
        <f>IF(BT5&gt;1,IF(BT5&gt;2," U"," CR=")," R")</f>
        <v xml:space="preserve"> R</v>
      </c>
      <c r="IU41" s="14">
        <f>BK51</f>
        <v>3.403</v>
      </c>
      <c r="IV41" s="14"/>
      <c r="IW41" s="14"/>
      <c r="IX41" s="14"/>
      <c r="IY41" s="14"/>
      <c r="IZ41" s="14"/>
    </row>
    <row r="42" spans="1:260" ht="15.95" customHeight="1">
      <c r="G42" s="5" t="str">
        <f>IF(BW120=0,"",BW120)</f>
        <v/>
      </c>
      <c r="H42" t="s">
        <v>159</v>
      </c>
      <c r="I42" s="5" t="str">
        <f t="shared" si="27"/>
        <v>Titanium, Unalloyed, &lt; 700 N/mm2</v>
      </c>
      <c r="J42" s="5" t="s">
        <v>547</v>
      </c>
      <c r="K42" s="5" t="s">
        <v>1414</v>
      </c>
      <c r="L42" s="40" t="s">
        <v>932</v>
      </c>
      <c r="M42" s="5" t="s">
        <v>1037</v>
      </c>
      <c r="N42" s="5" t="s">
        <v>741</v>
      </c>
      <c r="O42" s="5" t="s">
        <v>60</v>
      </c>
      <c r="P42" s="5" t="s">
        <v>371</v>
      </c>
      <c r="Q42" s="5" t="s">
        <v>1081</v>
      </c>
      <c r="R42" s="5" t="s">
        <v>419</v>
      </c>
      <c r="S42" s="5" t="s">
        <v>1341</v>
      </c>
      <c r="T42" s="5" t="s">
        <v>183</v>
      </c>
      <c r="U42" s="5" t="s">
        <v>530</v>
      </c>
      <c r="V42" s="5" t="s">
        <v>320</v>
      </c>
      <c r="W42" s="5" t="s">
        <v>631</v>
      </c>
      <c r="X42" s="38" t="s">
        <v>408</v>
      </c>
      <c r="Y42" s="43" t="s">
        <v>1846</v>
      </c>
      <c r="Z42" s="39" t="s">
        <v>1847</v>
      </c>
      <c r="AA42" s="417" t="s">
        <v>1848</v>
      </c>
      <c r="AB42" s="5" t="s">
        <v>265</v>
      </c>
      <c r="AD42" s="131">
        <v>41</v>
      </c>
      <c r="AE42" s="348">
        <v>1</v>
      </c>
      <c r="AF42" s="348">
        <v>3</v>
      </c>
      <c r="AG42" s="348">
        <v>2</v>
      </c>
      <c r="AH42" s="358" t="s">
        <v>1716</v>
      </c>
      <c r="AI42" s="352">
        <v>6</v>
      </c>
      <c r="AJ42" s="353">
        <v>3.21</v>
      </c>
      <c r="AK42" s="354">
        <v>3</v>
      </c>
      <c r="AL42" s="355">
        <v>32</v>
      </c>
      <c r="AM42" s="356">
        <v>8.6999999999999993</v>
      </c>
      <c r="AN42" s="357">
        <v>57</v>
      </c>
      <c r="AO42" s="349">
        <v>3.9660000000000002</v>
      </c>
      <c r="AP42" s="55">
        <f t="shared" si="28"/>
        <v>41</v>
      </c>
      <c r="AQ42" s="16">
        <f t="shared" si="1"/>
        <v>41</v>
      </c>
      <c r="AR42" s="16" t="b">
        <f t="shared" si="2"/>
        <v>0</v>
      </c>
      <c r="AS42" s="16" t="b">
        <f t="shared" si="3"/>
        <v>0</v>
      </c>
      <c r="AT42" s="16" t="b">
        <f t="shared" si="4"/>
        <v>0</v>
      </c>
      <c r="AU42" s="16" t="b">
        <f t="shared" si="5"/>
        <v>0</v>
      </c>
      <c r="BA42" s="12"/>
      <c r="BB42" s="7"/>
      <c r="BC42" s="212"/>
      <c r="BD42" s="212"/>
      <c r="BE42" s="9"/>
      <c r="BF42" s="9"/>
      <c r="BG42" s="9"/>
      <c r="BH42" s="162"/>
      <c r="BI42" s="160">
        <v>3</v>
      </c>
      <c r="BJ42" s="161" t="s">
        <v>936</v>
      </c>
      <c r="BK42" s="9"/>
      <c r="BL42" s="9"/>
      <c r="BO42" s="221" t="s">
        <v>937</v>
      </c>
      <c r="BP42" s="231">
        <f>LOOKUP(BE12,AD2:AD235,AF2:AF235)</f>
        <v>1</v>
      </c>
      <c r="BS42" s="14"/>
      <c r="BT42" s="14"/>
      <c r="BV42" s="8">
        <v>14</v>
      </c>
      <c r="BW42" s="54" t="str">
        <f>LOOKUP(BT$54,BX$2:EM$2,BX42:EM42)</f>
        <v/>
      </c>
      <c r="BY42" s="23" t="str">
        <f t="shared" si="11"/>
        <v/>
      </c>
      <c r="BZ42" s="23" t="str">
        <f>BY24</f>
        <v>G00 G40 X0. Y-3.375</v>
      </c>
      <c r="CA42" s="23" t="str">
        <f>FS42</f>
        <v>END1</v>
      </c>
      <c r="CB42" s="23" t="str">
        <f>BZ33</f>
        <v>G03 X4.063 Y3.375 Z0.313 R3,433</v>
      </c>
      <c r="CC42" s="4" t="str">
        <f>CONCATENATE(FX42,FY42,FZ42,GA42)</f>
        <v>G00 Z2.687</v>
      </c>
      <c r="CD42" s="23" t="str">
        <f>CONCATENATE(GC42,GD42,GE42,GF42)</f>
        <v>G00 Z-18.126</v>
      </c>
      <c r="CF42" s="23" t="str">
        <f>BZ42</f>
        <v>G00 G40 X0. Y-3.375</v>
      </c>
      <c r="CH42" s="375" t="str">
        <f>CONCATENATE(EO18,EP18,EQ18,ER18,ES18,ET18,EU18,EV18,EW18,EX18,EY18,EZ18)</f>
        <v>G03 X0. Y0. Z1.25 I-4.063 J0.</v>
      </c>
      <c r="CJ42" s="375" t="str">
        <f>$CF$36</f>
        <v>G03 X0. Y0. Z1.25 I-4.063 J0. F80</v>
      </c>
      <c r="CL42" s="23" t="str">
        <f>$CF$33</f>
        <v>G03 X4.063 Y3.375 Z0.313 R3,433</v>
      </c>
      <c r="CM42" s="23" t="str">
        <f>CG33</f>
        <v>M30</v>
      </c>
      <c r="CN42" s="23" t="str">
        <f>$CF$30</f>
        <v>G41 D10 X0. Y-3,375 F40</v>
      </c>
      <c r="CO42" s="23" t="str">
        <f>CG30</f>
        <v>G90 G49 G00 Z200. M5</v>
      </c>
      <c r="CP42" s="23" t="str">
        <f>$CF$27</f>
        <v>G00 Z-16.875</v>
      </c>
      <c r="CQ42" s="23" t="str">
        <f>CG27</f>
        <v>G00 G40 X0. Y-3.375</v>
      </c>
      <c r="CR42" s="23" t="str">
        <f>$CF$24</f>
        <v>G00 G40 X0. Y-3.375</v>
      </c>
      <c r="CS42" s="23" t="str">
        <f>CG24</f>
        <v>G03 X-4.063 Y3.375 Z0.313 R3,433</v>
      </c>
      <c r="CT42" s="23" t="str">
        <f>$CF$21</f>
        <v>G03 X-3.84 Y3.375 Z0.313 R3,403</v>
      </c>
      <c r="CU42" s="375" t="str">
        <f>CG21</f>
        <v>G03 X0. Y0. Z1.25 I-4.063 J0.</v>
      </c>
      <c r="CV42" s="375" t="str">
        <f>$CH$21</f>
        <v>G03 X0. Y0. Z1.25 I-3.84 J0.</v>
      </c>
      <c r="CW42" s="375" t="str">
        <f>$CG$21</f>
        <v>G03 X0. Y0. Z1.25 I-4.063 J0.</v>
      </c>
      <c r="CX42" s="375" t="str">
        <f>$CH$21</f>
        <v>G03 X0. Y0. Z1.25 I-3.84 J0.</v>
      </c>
      <c r="CY42" s="375" t="str">
        <f>$CG$21</f>
        <v>G03 X0. Y0. Z1.25 I-4.063 J0.</v>
      </c>
      <c r="CZ42" s="375" t="str">
        <f>$CH$21</f>
        <v>G03 X0. Y0. Z1.25 I-3.84 J0.</v>
      </c>
      <c r="DA42" s="375" t="str">
        <f>$CG$21</f>
        <v>G03 X0. Y0. Z1.25 I-4.063 J0.</v>
      </c>
      <c r="DB42" s="375" t="str">
        <f>$CH$21</f>
        <v>G03 X0. Y0. Z1.25 I-3.84 J0.</v>
      </c>
      <c r="DC42" s="375" t="str">
        <f>$CG$21</f>
        <v>G03 X0. Y0. Z1.25 I-4.063 J0.</v>
      </c>
      <c r="DD42" s="375" t="str">
        <f>$CH$21</f>
        <v>G03 X0. Y0. Z1.25 I-3.84 J0.</v>
      </c>
      <c r="DE42" s="375"/>
      <c r="DF42" s="23" t="str">
        <f>DE24</f>
        <v>G00 G40 X0. Y3.375</v>
      </c>
      <c r="DG42" s="375"/>
      <c r="DH42" s="375" t="str">
        <f>CONCATENATE(IM18,IN18,IO18,IP18,IQ18,IR18,IS18,IT18,IU18,IV18,IW18,IX18)</f>
        <v>G02 X0. Y0. Z-1.25 I-4.063 J0.</v>
      </c>
      <c r="DI42" s="375"/>
      <c r="DJ42" s="375" t="str">
        <f>$DF$36</f>
        <v>G02 X0. Y0. Z-1.25 I-4.063 J0. F80</v>
      </c>
      <c r="DK42" s="375"/>
      <c r="DL42" s="23" t="str">
        <f>$DF$33</f>
        <v>G02 X4.063 Y-3.375 Z-0.313 R3,433</v>
      </c>
      <c r="DM42" s="23" t="str">
        <f>$DE$30</f>
        <v>M30</v>
      </c>
      <c r="DN42" s="23" t="str">
        <f>$DF$30</f>
        <v>G91 G42 D10 X0. Y3,375 F40</v>
      </c>
      <c r="DO42" s="23" t="str">
        <f>$DE$27</f>
        <v>G90 G49 G00 Z200. M5</v>
      </c>
      <c r="DP42" s="23" t="str">
        <f>$DF$27</f>
        <v>G90 G00 Z0.313</v>
      </c>
      <c r="DQ42" s="23" t="str">
        <f>$DE$24</f>
        <v>G00 G40 X0. Y3.375</v>
      </c>
      <c r="DR42" s="23" t="str">
        <f>$DF$24</f>
        <v>G00 G40 X0. Y3.375</v>
      </c>
      <c r="DS42" s="23" t="str">
        <f>$DE$21</f>
        <v>G02 X-4.063 Y-3.375 Z-0.313 R3,433</v>
      </c>
      <c r="DT42" s="23" t="str">
        <f>$DF$21</f>
        <v>G02 X-3.84 Y-3.375 Z-0.313 R3,403</v>
      </c>
      <c r="DU42" s="375" t="str">
        <f>$DG$21</f>
        <v>G02 X0. Y0. Z-1.25 I-4.063 J0.</v>
      </c>
      <c r="DV42" s="375" t="str">
        <f t="shared" si="21"/>
        <v>G02 X0. Y0. Z-1.25 I-3.84 J0.</v>
      </c>
      <c r="DW42" s="375" t="str">
        <f>$DG$21</f>
        <v>G02 X0. Y0. Z-1.25 I-4.063 J0.</v>
      </c>
      <c r="DX42" s="375" t="str">
        <f t="shared" si="22"/>
        <v>G02 X0. Y0. Z-1.25 I-3.84 J0.</v>
      </c>
      <c r="DY42" s="375" t="str">
        <f>$DG$21</f>
        <v>G02 X0. Y0. Z-1.25 I-4.063 J0.</v>
      </c>
      <c r="DZ42" s="375" t="str">
        <f t="shared" si="23"/>
        <v>G02 X0. Y0. Z-1.25 I-3.84 J0.</v>
      </c>
      <c r="EA42" s="375" t="str">
        <f>$DG$21</f>
        <v>G02 X0. Y0. Z-1.25 I-4.063 J0.</v>
      </c>
      <c r="EB42" s="375" t="str">
        <f t="shared" si="24"/>
        <v>G02 X0. Y0. Z-1.25 I-3.84 J0.</v>
      </c>
      <c r="EC42" s="375" t="str">
        <f>$DG$21</f>
        <v>G02 X0. Y0. Z-1.25 I-4.063 J0.</v>
      </c>
      <c r="ED42" s="375" t="str">
        <f t="shared" si="25"/>
        <v>G02 X0. Y0. Z-1.25 I-3.84 J0.</v>
      </c>
      <c r="EE42" s="375" t="str">
        <f>$DG$21</f>
        <v>G02 X0. Y0. Z-1.25 I-4.063 J0.</v>
      </c>
      <c r="EF42" s="375" t="str">
        <f t="shared" si="26"/>
        <v>G02 X0. Y0. Z-1.25 I-3.84 J0.</v>
      </c>
      <c r="EG42" s="23" t="str">
        <f>BY33</f>
        <v>M30</v>
      </c>
      <c r="EH42" s="23" t="str">
        <f>EG15</f>
        <v>G03 X4.063 Y3.375 Z0.313 R3,433</v>
      </c>
      <c r="EJ42" s="23" t="str">
        <f>BZ36</f>
        <v>G03 X0. Y0. Z1.25 I-4.063 J0. F80</v>
      </c>
      <c r="EK42" s="23" t="str">
        <f>EG36</f>
        <v>G00 Z18.937</v>
      </c>
      <c r="EL42" s="23" t="str">
        <f>EH36</f>
        <v>G00 Z-1.876</v>
      </c>
      <c r="EX42" s="14"/>
      <c r="FC42" s="24"/>
      <c r="FD42" s="14"/>
      <c r="FE42" s="14"/>
      <c r="FF42" s="14"/>
      <c r="FG42" s="14"/>
      <c r="FH42" s="14"/>
      <c r="FI42" s="14"/>
      <c r="FJ42" s="14"/>
      <c r="FK42" s="14"/>
      <c r="FL42" s="14"/>
      <c r="FM42" s="14"/>
      <c r="FN42" s="14"/>
      <c r="FO42" s="14"/>
      <c r="FP42" s="14"/>
      <c r="FQ42" s="14"/>
      <c r="FR42" s="26">
        <v>14</v>
      </c>
      <c r="FS42" s="53" t="s">
        <v>630</v>
      </c>
      <c r="FW42" s="26">
        <v>14</v>
      </c>
      <c r="FX42" s="14" t="s">
        <v>672</v>
      </c>
      <c r="FY42" s="14" t="s">
        <v>673</v>
      </c>
      <c r="FZ42" s="10" t="str">
        <f>SUBSTITUTE(FZ40,",",".")</f>
        <v>2.687</v>
      </c>
      <c r="GA42" s="14" t="str">
        <f>IF(FZ40=FZ41,".","")</f>
        <v/>
      </c>
      <c r="GB42" s="26">
        <v>14</v>
      </c>
      <c r="GC42" s="14" t="s">
        <v>672</v>
      </c>
      <c r="GD42" s="14" t="s">
        <v>673</v>
      </c>
      <c r="GE42" s="10" t="str">
        <f>SUBSTITUTE(GE40,",",".")</f>
        <v>-18.126</v>
      </c>
      <c r="GF42" s="14" t="str">
        <f>IF(GE40=GE41,".","")</f>
        <v/>
      </c>
      <c r="IG42" s="24"/>
      <c r="IH42" s="14"/>
      <c r="II42" s="14"/>
      <c r="IJ42" s="14"/>
      <c r="IK42" s="14"/>
      <c r="IL42" s="26"/>
      <c r="IM42" s="14"/>
      <c r="IN42" s="14"/>
      <c r="IO42" s="14"/>
      <c r="IP42" s="14"/>
      <c r="IQ42" s="14"/>
      <c r="IR42" s="14"/>
      <c r="IS42" s="101">
        <f>-BL6</f>
        <v>-1.25</v>
      </c>
      <c r="IT42" s="103"/>
      <c r="IU42" s="103">
        <f>-ROUND(BJ51/2,3)</f>
        <v>-3.84</v>
      </c>
      <c r="IV42" s="14"/>
      <c r="IW42" s="14"/>
      <c r="IX42" s="16"/>
      <c r="IY42" s="16"/>
      <c r="IZ42" s="16"/>
    </row>
    <row r="43" spans="1:260" ht="15.95" customHeight="1">
      <c r="G43" s="5" t="str">
        <f>IF(BW123=0,"",BW123)</f>
        <v/>
      </c>
      <c r="H43" s="43" t="s">
        <v>1450</v>
      </c>
      <c r="I43" s="5" t="str">
        <f t="shared" si="27"/>
        <v>Titanium, Alloyed, &lt; 900 N/mm2</v>
      </c>
      <c r="J43" s="5" t="s">
        <v>541</v>
      </c>
      <c r="K43" s="5" t="s">
        <v>1415</v>
      </c>
      <c r="L43" s="40" t="s">
        <v>938</v>
      </c>
      <c r="M43" s="5" t="s">
        <v>129</v>
      </c>
      <c r="N43" s="5" t="s">
        <v>549</v>
      </c>
      <c r="O43" s="5" t="s">
        <v>61</v>
      </c>
      <c r="P43" s="5" t="s">
        <v>194</v>
      </c>
      <c r="Q43" s="5" t="s">
        <v>1082</v>
      </c>
      <c r="R43" s="5" t="s">
        <v>420</v>
      </c>
      <c r="S43" s="5" t="s">
        <v>1342</v>
      </c>
      <c r="T43" s="5" t="s">
        <v>184</v>
      </c>
      <c r="U43" s="5" t="s">
        <v>536</v>
      </c>
      <c r="V43" s="5" t="s">
        <v>321</v>
      </c>
      <c r="W43" s="5" t="s">
        <v>632</v>
      </c>
      <c r="X43" s="38" t="s">
        <v>409</v>
      </c>
      <c r="Y43" s="43" t="s">
        <v>1849</v>
      </c>
      <c r="Z43" s="39" t="s">
        <v>1850</v>
      </c>
      <c r="AA43" s="417" t="s">
        <v>1851</v>
      </c>
      <c r="AB43" s="5" t="s">
        <v>1068</v>
      </c>
      <c r="AD43" s="131">
        <v>42</v>
      </c>
      <c r="AE43" s="348">
        <v>1</v>
      </c>
      <c r="AF43" s="348">
        <v>3</v>
      </c>
      <c r="AG43" s="348">
        <v>2</v>
      </c>
      <c r="AH43" s="358" t="s">
        <v>1717</v>
      </c>
      <c r="AI43" s="352">
        <v>6</v>
      </c>
      <c r="AJ43" s="353">
        <v>2.5499999999999998</v>
      </c>
      <c r="AK43" s="354">
        <v>3</v>
      </c>
      <c r="AL43" s="355">
        <v>32</v>
      </c>
      <c r="AM43" s="356">
        <v>7.4</v>
      </c>
      <c r="AN43" s="357">
        <v>57</v>
      </c>
      <c r="AO43" s="349">
        <v>3.3050000000000002</v>
      </c>
      <c r="AP43" s="55">
        <f t="shared" si="28"/>
        <v>42</v>
      </c>
      <c r="AQ43" s="16">
        <f t="shared" si="1"/>
        <v>42</v>
      </c>
      <c r="AR43" s="16" t="b">
        <f t="shared" si="2"/>
        <v>0</v>
      </c>
      <c r="AS43" s="16" t="b">
        <f t="shared" si="3"/>
        <v>0</v>
      </c>
      <c r="AT43" s="16" t="b">
        <f t="shared" si="4"/>
        <v>0</v>
      </c>
      <c r="AU43" s="16" t="b">
        <f t="shared" si="5"/>
        <v>0</v>
      </c>
      <c r="BA43" s="12"/>
      <c r="BB43" s="7"/>
      <c r="BC43" s="9"/>
      <c r="BD43" s="9"/>
      <c r="BE43" s="124" t="s">
        <v>898</v>
      </c>
      <c r="BF43" s="124">
        <f>C9-BL6</f>
        <v>6.75</v>
      </c>
      <c r="BG43" s="9"/>
      <c r="BH43" s="163"/>
      <c r="BI43" s="160">
        <v>4</v>
      </c>
      <c r="BJ43" s="161" t="s">
        <v>942</v>
      </c>
      <c r="BK43" s="9"/>
      <c r="BL43" s="9"/>
      <c r="BS43" s="14"/>
      <c r="BT43" s="14"/>
      <c r="BV43" s="8"/>
      <c r="BY43" s="23" t="str">
        <f t="shared" si="11"/>
        <v/>
      </c>
      <c r="CJ43" s="375"/>
      <c r="CU43" s="375"/>
      <c r="CV43" s="375"/>
      <c r="CX43" s="375"/>
      <c r="CY43" s="375"/>
      <c r="CZ43" s="375"/>
      <c r="DA43" s="375"/>
      <c r="DB43" s="375"/>
      <c r="DD43" s="375"/>
      <c r="DE43" s="375"/>
      <c r="DG43" s="375"/>
      <c r="DI43" s="375"/>
      <c r="DK43" s="375"/>
      <c r="DL43" s="375"/>
      <c r="DM43" s="375"/>
      <c r="DN43" s="375"/>
      <c r="DR43" s="375"/>
      <c r="DW43" s="375"/>
      <c r="DX43" s="375"/>
      <c r="DY43" s="375"/>
      <c r="DZ43" s="375"/>
      <c r="EA43" s="375"/>
      <c r="EB43" s="375"/>
      <c r="EC43" s="375"/>
      <c r="ED43" s="375"/>
      <c r="EE43" s="375"/>
      <c r="EF43" s="375"/>
      <c r="EX43" s="14"/>
      <c r="FC43" s="24"/>
      <c r="FD43" s="14"/>
      <c r="FE43" s="14"/>
      <c r="FF43" s="14"/>
      <c r="FG43" s="14"/>
      <c r="FH43" s="14"/>
      <c r="FI43" s="14"/>
      <c r="FJ43" s="14"/>
      <c r="FK43" s="14"/>
      <c r="FL43" s="14"/>
      <c r="FM43" s="14"/>
      <c r="FN43" s="14"/>
      <c r="FO43" s="14"/>
      <c r="FP43" s="14"/>
      <c r="FQ43" s="14"/>
      <c r="FR43" s="26"/>
      <c r="FU43" s="202">
        <f>ROUND((C11+C12)-(BP9*BP7)+0.375,3)</f>
        <v>3.375</v>
      </c>
      <c r="IG43" s="24"/>
      <c r="IH43" s="14"/>
      <c r="II43" s="14"/>
      <c r="IJ43" s="14"/>
      <c r="IK43" s="14"/>
      <c r="IL43" s="24"/>
      <c r="IM43"/>
      <c r="IN43"/>
      <c r="IO43"/>
      <c r="IP43"/>
      <c r="IQ43"/>
      <c r="IR43"/>
      <c r="IS43" s="102">
        <f>INT(IS42)</f>
        <v>-2</v>
      </c>
      <c r="IT43" s="104"/>
      <c r="IU43" s="102">
        <f>INT(IU42)</f>
        <v>-4</v>
      </c>
      <c r="IV43"/>
      <c r="IW43"/>
      <c r="IX43" s="16"/>
      <c r="IY43" s="16"/>
      <c r="IZ43" s="16"/>
    </row>
    <row r="44" spans="1:260" ht="15.95" customHeight="1">
      <c r="G44" s="5" t="str">
        <f>IF(BW126=0,"",BW126)</f>
        <v/>
      </c>
      <c r="H44" t="s">
        <v>662</v>
      </c>
      <c r="I44" s="5" t="str">
        <f t="shared" si="27"/>
        <v>Titanium, Alloyed, &lt; 1250 N/mm2</v>
      </c>
      <c r="J44" s="5" t="s">
        <v>725</v>
      </c>
      <c r="K44" s="5" t="s">
        <v>233</v>
      </c>
      <c r="L44" s="40" t="s">
        <v>943</v>
      </c>
      <c r="M44" s="5" t="s">
        <v>130</v>
      </c>
      <c r="N44" s="5" t="s">
        <v>550</v>
      </c>
      <c r="O44" s="5" t="s">
        <v>62</v>
      </c>
      <c r="P44" s="5" t="s">
        <v>195</v>
      </c>
      <c r="Q44" s="5" t="s">
        <v>217</v>
      </c>
      <c r="R44" s="5" t="s">
        <v>421</v>
      </c>
      <c r="S44" s="5" t="s">
        <v>1343</v>
      </c>
      <c r="T44" s="5" t="s">
        <v>185</v>
      </c>
      <c r="U44" s="5" t="s">
        <v>537</v>
      </c>
      <c r="V44" s="5" t="s">
        <v>301</v>
      </c>
      <c r="W44" s="5" t="s">
        <v>612</v>
      </c>
      <c r="X44" s="38" t="s">
        <v>410</v>
      </c>
      <c r="Y44" s="43" t="s">
        <v>1852</v>
      </c>
      <c r="Z44" s="39" t="s">
        <v>1853</v>
      </c>
      <c r="AA44" s="417" t="s">
        <v>1854</v>
      </c>
      <c r="AB44" s="5" t="s">
        <v>1111</v>
      </c>
      <c r="AD44" s="131">
        <v>43</v>
      </c>
      <c r="AE44" s="348">
        <v>1</v>
      </c>
      <c r="AF44" s="348">
        <v>3</v>
      </c>
      <c r="AG44" s="348">
        <v>2</v>
      </c>
      <c r="AH44" s="358" t="s">
        <v>1718</v>
      </c>
      <c r="AI44" s="352">
        <v>6</v>
      </c>
      <c r="AJ44" s="353">
        <v>2.08</v>
      </c>
      <c r="AK44" s="354">
        <v>3</v>
      </c>
      <c r="AL44" s="355">
        <v>40</v>
      </c>
      <c r="AM44" s="356">
        <v>6</v>
      </c>
      <c r="AN44" s="357">
        <v>57</v>
      </c>
      <c r="AO44" s="349">
        <v>2.7450000000000001</v>
      </c>
      <c r="AP44" s="55">
        <f t="shared" si="28"/>
        <v>43</v>
      </c>
      <c r="AQ44" s="16">
        <f t="shared" si="1"/>
        <v>43</v>
      </c>
      <c r="AR44" s="16" t="b">
        <f t="shared" si="2"/>
        <v>0</v>
      </c>
      <c r="AS44" s="16" t="b">
        <f t="shared" si="3"/>
        <v>0</v>
      </c>
      <c r="AT44" s="16" t="b">
        <f t="shared" si="4"/>
        <v>0</v>
      </c>
      <c r="AU44" s="16" t="b">
        <f t="shared" si="5"/>
        <v>0</v>
      </c>
      <c r="BA44" s="437" t="s">
        <v>431</v>
      </c>
      <c r="BB44" s="437"/>
      <c r="BC44" s="437"/>
      <c r="BD44" s="437"/>
      <c r="BE44" s="437"/>
      <c r="BF44" s="437"/>
      <c r="BG44" s="9"/>
      <c r="BH44" s="9"/>
      <c r="BI44" s="160">
        <v>5</v>
      </c>
      <c r="BJ44" s="161" t="s">
        <v>947</v>
      </c>
      <c r="BK44" s="9"/>
      <c r="BL44" s="9"/>
      <c r="BS44" s="14"/>
      <c r="BT44" s="14"/>
      <c r="BV44" s="8"/>
      <c r="BY44" s="23" t="str">
        <f t="shared" si="11"/>
        <v/>
      </c>
      <c r="CJ44" s="375"/>
      <c r="CU44" s="375"/>
      <c r="CV44" s="375"/>
      <c r="CX44" s="375"/>
      <c r="CY44" s="375"/>
      <c r="CZ44" s="375"/>
      <c r="DA44" s="375"/>
      <c r="DB44" s="375"/>
      <c r="DD44" s="375"/>
      <c r="DE44" s="375"/>
      <c r="DG44" s="375"/>
      <c r="DI44" s="375"/>
      <c r="DK44" s="375"/>
      <c r="DL44" s="375"/>
      <c r="DM44" s="375"/>
      <c r="DN44" s="375"/>
      <c r="DR44" s="375"/>
      <c r="DW44" s="375"/>
      <c r="DX44" s="375"/>
      <c r="DY44" s="375"/>
      <c r="DZ44" s="375"/>
      <c r="EA44" s="375"/>
      <c r="EB44" s="375"/>
      <c r="EC44" s="375"/>
      <c r="ED44" s="375"/>
      <c r="EE44" s="375"/>
      <c r="EF44" s="375"/>
      <c r="EX44" s="14"/>
      <c r="FC44" s="24"/>
      <c r="FD44" s="14"/>
      <c r="FE44" s="14"/>
      <c r="FF44" s="14"/>
      <c r="FG44" s="14"/>
      <c r="FH44" s="14"/>
      <c r="FI44" s="14"/>
      <c r="FJ44" s="14"/>
      <c r="FK44" s="14"/>
      <c r="FL44" s="14"/>
      <c r="FM44" s="14"/>
      <c r="FN44" s="14"/>
      <c r="FO44" s="14"/>
      <c r="FP44" s="14"/>
      <c r="FQ44" s="14"/>
      <c r="FU44" s="53">
        <f>INT(FU43)</f>
        <v>3</v>
      </c>
      <c r="IG44" s="24"/>
      <c r="IH44" s="14"/>
      <c r="II44" s="14"/>
      <c r="IJ44" s="14"/>
      <c r="IK44" s="14"/>
      <c r="IL44" s="26">
        <v>6</v>
      </c>
      <c r="IM44" s="14" t="s">
        <v>1749</v>
      </c>
      <c r="IN44" s="14" t="s">
        <v>674</v>
      </c>
      <c r="IO44" s="14">
        <v>0</v>
      </c>
      <c r="IP44" s="14" t="s">
        <v>676</v>
      </c>
      <c r="IQ44" s="14">
        <v>0</v>
      </c>
      <c r="IR44" s="14" t="s">
        <v>677</v>
      </c>
      <c r="IS44" s="14" t="str">
        <f>SUBSTITUTE(IS42,",",".")</f>
        <v>-1.25</v>
      </c>
      <c r="IT44" s="14" t="str">
        <f>IF(IS42=IS43,". I"," I")</f>
        <v xml:space="preserve"> I</v>
      </c>
      <c r="IU44" s="14" t="str">
        <f>SUBSTITUTE(IU42,",",".")</f>
        <v>-3.84</v>
      </c>
      <c r="IV44" s="14" t="str">
        <f>IF(IU42=IU43,". J"," J")</f>
        <v xml:space="preserve"> J</v>
      </c>
      <c r="IW44" s="14">
        <v>0</v>
      </c>
      <c r="IX44" s="16" t="s">
        <v>255</v>
      </c>
      <c r="IY44" s="16" t="s">
        <v>841</v>
      </c>
      <c r="IZ44" s="16">
        <f>BM51</f>
        <v>70</v>
      </c>
    </row>
    <row r="45" spans="1:260" ht="15.95" customHeight="1">
      <c r="G45" s="5" t="str">
        <f>IF(BW129=0,"",BW129)</f>
        <v/>
      </c>
      <c r="H45" s="49" t="s">
        <v>1331</v>
      </c>
      <c r="I45" s="5" t="str">
        <f t="shared" si="27"/>
        <v>Nickel, Unalloyed, &lt; 500 N/mm2</v>
      </c>
      <c r="J45" s="5" t="s">
        <v>1419</v>
      </c>
      <c r="K45" s="5" t="s">
        <v>761</v>
      </c>
      <c r="L45" s="40" t="s">
        <v>948</v>
      </c>
      <c r="M45" s="5" t="s">
        <v>131</v>
      </c>
      <c r="N45" s="5" t="s">
        <v>743</v>
      </c>
      <c r="O45" s="5" t="s">
        <v>63</v>
      </c>
      <c r="P45" s="5" t="s">
        <v>361</v>
      </c>
      <c r="Q45" s="5" t="s">
        <v>218</v>
      </c>
      <c r="R45" s="5" t="s">
        <v>94</v>
      </c>
      <c r="S45" s="5" t="s">
        <v>1344</v>
      </c>
      <c r="T45" s="5" t="s">
        <v>186</v>
      </c>
      <c r="U45" s="5" t="s">
        <v>538</v>
      </c>
      <c r="V45" s="5" t="s">
        <v>302</v>
      </c>
      <c r="W45" s="5" t="s">
        <v>720</v>
      </c>
      <c r="X45" s="38" t="s">
        <v>411</v>
      </c>
      <c r="Y45" s="43" t="s">
        <v>1855</v>
      </c>
      <c r="Z45" s="39" t="s">
        <v>1856</v>
      </c>
      <c r="AA45" s="417" t="s">
        <v>1857</v>
      </c>
      <c r="AB45" s="5" t="s">
        <v>1101</v>
      </c>
      <c r="AD45" s="131">
        <v>44</v>
      </c>
      <c r="AE45" s="348">
        <v>1</v>
      </c>
      <c r="AF45" s="348">
        <v>3</v>
      </c>
      <c r="AG45" s="348">
        <v>2</v>
      </c>
      <c r="AH45" s="358" t="s">
        <v>1719</v>
      </c>
      <c r="AI45" s="352">
        <v>6</v>
      </c>
      <c r="AJ45" s="353">
        <v>1.64</v>
      </c>
      <c r="AK45" s="354">
        <v>3</v>
      </c>
      <c r="AL45" s="355">
        <v>56</v>
      </c>
      <c r="AM45" s="356">
        <v>4.5999999999999996</v>
      </c>
      <c r="AN45" s="357">
        <v>57</v>
      </c>
      <c r="AO45" s="349">
        <v>2.0840000000000001</v>
      </c>
      <c r="AP45" s="55">
        <f t="shared" si="28"/>
        <v>44</v>
      </c>
      <c r="AQ45" s="16">
        <f t="shared" si="1"/>
        <v>44</v>
      </c>
      <c r="AR45" s="16" t="b">
        <f t="shared" si="2"/>
        <v>0</v>
      </c>
      <c r="AS45" s="16" t="b">
        <f t="shared" si="3"/>
        <v>0</v>
      </c>
      <c r="AT45" s="16" t="b">
        <f t="shared" si="4"/>
        <v>0</v>
      </c>
      <c r="AU45" s="16" t="b">
        <f t="shared" si="5"/>
        <v>0</v>
      </c>
      <c r="BA45" s="216"/>
      <c r="BB45" s="217" t="s">
        <v>554</v>
      </c>
      <c r="BC45" s="218" t="s">
        <v>428</v>
      </c>
      <c r="BD45" s="219" t="s">
        <v>429</v>
      </c>
      <c r="BE45" s="217" t="s">
        <v>554</v>
      </c>
      <c r="BF45" s="219" t="s">
        <v>430</v>
      </c>
      <c r="BG45" s="9"/>
      <c r="BH45" s="9"/>
      <c r="BI45" s="9"/>
      <c r="BJ45" s="9"/>
      <c r="BK45" s="9"/>
      <c r="BL45" s="9"/>
      <c r="BS45" s="14"/>
      <c r="BT45" s="14"/>
      <c r="BV45" s="8">
        <v>15</v>
      </c>
      <c r="BW45" s="54" t="str">
        <f>LOOKUP(BT$54,BX$2:EM$2,BX45:EM45)</f>
        <v/>
      </c>
      <c r="BY45" s="23" t="str">
        <f t="shared" si="11"/>
        <v/>
      </c>
      <c r="BZ45" s="23" t="str">
        <f>BY27</f>
        <v>G00 Z18.937</v>
      </c>
      <c r="CA45" s="23" t="str">
        <f>CONCATENATE(FS45,FT45,FU45,FV45)</f>
        <v>G00 Z3.375</v>
      </c>
      <c r="CB45" s="23" t="str">
        <f>BZ36</f>
        <v>G03 X0. Y0. Z1.25 I-4.063 J0. F80</v>
      </c>
      <c r="CC45" s="4" t="str">
        <f>BY30</f>
        <v>G90 G49 G00 Z200. M5</v>
      </c>
      <c r="CD45" s="23" t="str">
        <f>BZ30</f>
        <v>G41 D10 X0. Y-3,375 F40</v>
      </c>
      <c r="CF45" s="23" t="str">
        <f>BZ48</f>
        <v>G90 G49 G00 Z200. M5</v>
      </c>
      <c r="CH45" s="23" t="str">
        <f>$CF$39</f>
        <v>G03 X-4.063 Y3.375 Z0.313 R3,433</v>
      </c>
      <c r="CJ45" s="375" t="str">
        <f>$CH$42</f>
        <v>G03 X0. Y0. Z1.25 I-4.063 J0.</v>
      </c>
      <c r="CL45" s="375" t="str">
        <f>$CF$36</f>
        <v>G03 X0. Y0. Z1.25 I-4.063 J0. F80</v>
      </c>
      <c r="CN45" s="23" t="str">
        <f>$CF$33</f>
        <v>G03 X4.063 Y3.375 Z0.313 R3,433</v>
      </c>
      <c r="CO45" s="23" t="str">
        <f>CG33</f>
        <v>M30</v>
      </c>
      <c r="CP45" s="23" t="str">
        <f>$CF$30</f>
        <v>G41 D10 X0. Y-3,375 F40</v>
      </c>
      <c r="CQ45" s="23" t="str">
        <f>CG30</f>
        <v>G90 G49 G00 Z200. M5</v>
      </c>
      <c r="CR45" s="23" t="str">
        <f>$CF$27</f>
        <v>G00 Z-16.875</v>
      </c>
      <c r="CS45" s="23" t="str">
        <f>CG27</f>
        <v>G00 G40 X0. Y-3.375</v>
      </c>
      <c r="CT45" s="23" t="str">
        <f>$CF$24</f>
        <v>G00 G40 X0. Y-3.375</v>
      </c>
      <c r="CU45" s="23" t="str">
        <f>CG24</f>
        <v>G03 X-4.063 Y3.375 Z0.313 R3,433</v>
      </c>
      <c r="CV45" s="23" t="str">
        <f>$CF$21</f>
        <v>G03 X-3.84 Y3.375 Z0.313 R3,403</v>
      </c>
      <c r="CW45" s="375" t="str">
        <f>CG21</f>
        <v>G03 X0. Y0. Z1.25 I-4.063 J0.</v>
      </c>
      <c r="CX45" s="375" t="str">
        <f>$CH$21</f>
        <v>G03 X0. Y0. Z1.25 I-3.84 J0.</v>
      </c>
      <c r="CY45" s="375" t="str">
        <f>$CG$21</f>
        <v>G03 X0. Y0. Z1.25 I-4.063 J0.</v>
      </c>
      <c r="CZ45" s="375" t="str">
        <f>$CH$21</f>
        <v>G03 X0. Y0. Z1.25 I-3.84 J0.</v>
      </c>
      <c r="DA45" s="375" t="str">
        <f>$CG$21</f>
        <v>G03 X0. Y0. Z1.25 I-4.063 J0.</v>
      </c>
      <c r="DB45" s="375" t="str">
        <f>$CH$21</f>
        <v>G03 X0. Y0. Z1.25 I-3.84 J0.</v>
      </c>
      <c r="DC45" s="375" t="str">
        <f>$CG$21</f>
        <v>G03 X0. Y0. Z1.25 I-4.063 J0.</v>
      </c>
      <c r="DD45" s="375" t="str">
        <f>$CH$21</f>
        <v>G03 X0. Y0. Z1.25 I-3.84 J0.</v>
      </c>
      <c r="DE45" s="375"/>
      <c r="DF45" s="23" t="str">
        <f>DE27</f>
        <v>G90 G49 G00 Z200. M5</v>
      </c>
      <c r="DG45" s="375"/>
      <c r="DH45" s="23" t="str">
        <f>$DF$39</f>
        <v>G02 X-4.063 Y-3.375 Z-0.313 R3,433</v>
      </c>
      <c r="DI45" s="375"/>
      <c r="DJ45" s="375" t="str">
        <f>$DH$42</f>
        <v>G02 X0. Y0. Z-1.25 I-4.063 J0.</v>
      </c>
      <c r="DK45" s="375"/>
      <c r="DL45" s="375" t="str">
        <f>$DF$36</f>
        <v>G02 X0. Y0. Z-1.25 I-4.063 J0. F80</v>
      </c>
      <c r="DM45" s="375"/>
      <c r="DN45" s="23" t="str">
        <f>$DF$33</f>
        <v>G02 X4.063 Y-3.375 Z-0.313 R3,433</v>
      </c>
      <c r="DO45" s="23" t="str">
        <f>$DE$30</f>
        <v>M30</v>
      </c>
      <c r="DP45" s="23" t="str">
        <f>$DF$30</f>
        <v>G91 G42 D10 X0. Y3,375 F40</v>
      </c>
      <c r="DQ45" s="23" t="str">
        <f>$DE$27</f>
        <v>G90 G49 G00 Z200. M5</v>
      </c>
      <c r="DR45" s="23" t="str">
        <f>$DF$27</f>
        <v>G90 G00 Z0.313</v>
      </c>
      <c r="DS45" s="23" t="str">
        <f>$DE$24</f>
        <v>G00 G40 X0. Y3.375</v>
      </c>
      <c r="DT45" s="23" t="str">
        <f>$DF$24</f>
        <v>G00 G40 X0. Y3.375</v>
      </c>
      <c r="DU45" s="23" t="str">
        <f>$DE$21</f>
        <v>G02 X-4.063 Y-3.375 Z-0.313 R3,433</v>
      </c>
      <c r="DV45" s="23" t="str">
        <f>$DF$21</f>
        <v>G02 X-3.84 Y-3.375 Z-0.313 R3,403</v>
      </c>
      <c r="DW45" s="375" t="str">
        <f>$DG$21</f>
        <v>G02 X0. Y0. Z-1.25 I-4.063 J0.</v>
      </c>
      <c r="DX45" s="375" t="str">
        <f t="shared" si="22"/>
        <v>G02 X0. Y0. Z-1.25 I-3.84 J0.</v>
      </c>
      <c r="DY45" s="375" t="str">
        <f>$DG$21</f>
        <v>G02 X0. Y0. Z-1.25 I-4.063 J0.</v>
      </c>
      <c r="DZ45" s="375" t="str">
        <f t="shared" si="23"/>
        <v>G02 X0. Y0. Z-1.25 I-3.84 J0.</v>
      </c>
      <c r="EA45" s="375" t="str">
        <f>$DG$21</f>
        <v>G02 X0. Y0. Z-1.25 I-4.063 J0.</v>
      </c>
      <c r="EB45" s="375" t="str">
        <f t="shared" si="24"/>
        <v>G02 X0. Y0. Z-1.25 I-3.84 J0.</v>
      </c>
      <c r="EC45" s="375" t="str">
        <f>$DG$21</f>
        <v>G02 X0. Y0. Z-1.25 I-4.063 J0.</v>
      </c>
      <c r="ED45" s="375" t="str">
        <f t="shared" si="25"/>
        <v>G02 X0. Y0. Z-1.25 I-3.84 J0.</v>
      </c>
      <c r="EE45" s="375" t="str">
        <f>$DG$21</f>
        <v>G02 X0. Y0. Z-1.25 I-4.063 J0.</v>
      </c>
      <c r="EF45" s="375" t="str">
        <f t="shared" si="26"/>
        <v>G02 X0. Y0. Z-1.25 I-3.84 J0.</v>
      </c>
      <c r="EH45" s="23" t="str">
        <f>EG18</f>
        <v>G03 X-4.063 Y4.072 Z0.313 I-4.063 J0.01 F80</v>
      </c>
      <c r="EJ45" s="23" t="str">
        <f>BZ39</f>
        <v>G03 X-4.063 Y3.375 Z0.313 R3,433</v>
      </c>
      <c r="EK45" s="23" t="str">
        <f>EG39</f>
        <v>G90 G49 G00 Z200. M5</v>
      </c>
      <c r="EL45" s="23" t="str">
        <f>EH39</f>
        <v>G41 D10 X0. Y-3,375 F40</v>
      </c>
      <c r="EX45" s="14"/>
      <c r="FC45" s="24"/>
      <c r="FD45" s="14"/>
      <c r="FE45" s="14"/>
      <c r="FF45" s="14"/>
      <c r="FG45" s="14"/>
      <c r="FH45" s="14"/>
      <c r="FI45" s="14"/>
      <c r="FJ45" s="14"/>
      <c r="FK45" s="14"/>
      <c r="FL45" s="14"/>
      <c r="FM45" s="14"/>
      <c r="FN45" s="14"/>
      <c r="FO45" s="14"/>
      <c r="FP45" s="14"/>
      <c r="FQ45" s="14"/>
      <c r="FR45" s="26">
        <v>15</v>
      </c>
      <c r="FS45" s="53" t="s">
        <v>672</v>
      </c>
      <c r="FT45" s="53" t="s">
        <v>673</v>
      </c>
      <c r="FU45" s="53" t="str">
        <f>SUBSTITUTE(FU43,",",".")</f>
        <v>3.375</v>
      </c>
      <c r="FV45" s="53" t="str">
        <f>IF(FU43=FU44,".","")</f>
        <v/>
      </c>
      <c r="IG45" s="24"/>
      <c r="IH45" s="14"/>
      <c r="II45" s="14"/>
      <c r="IJ45" s="14"/>
      <c r="IK45" s="14"/>
      <c r="IL45" s="26"/>
      <c r="IM45" s="14"/>
      <c r="IN45" s="14"/>
      <c r="IO45" s="103">
        <f>-ROUND(BJ51/2,3)</f>
        <v>-3.84</v>
      </c>
      <c r="IP45" s="103"/>
      <c r="IQ45" s="101">
        <f>BP55</f>
        <v>-3.375</v>
      </c>
      <c r="IR45" s="103"/>
      <c r="IS45" s="103">
        <f>ROUND(-BP54,3)</f>
        <v>-0.313</v>
      </c>
      <c r="IT45" s="103"/>
      <c r="IU45" s="103"/>
      <c r="IV45" s="14"/>
      <c r="IW45" s="14"/>
      <c r="IX45" s="16"/>
      <c r="IY45" s="16"/>
      <c r="IZ45" s="16"/>
    </row>
    <row r="46" spans="1:260" ht="15.95" customHeight="1">
      <c r="B46" s="207"/>
      <c r="G46" s="5" t="str">
        <f>IF(BW132=0,"",BW132)</f>
        <v/>
      </c>
      <c r="H46" t="s">
        <v>685</v>
      </c>
      <c r="I46" s="5" t="str">
        <f t="shared" si="27"/>
        <v>Nickel, Alloyed, &lt; 900 N/mm2</v>
      </c>
      <c r="J46" s="5" t="s">
        <v>141</v>
      </c>
      <c r="K46" s="5" t="s">
        <v>614</v>
      </c>
      <c r="L46" s="40" t="s">
        <v>952</v>
      </c>
      <c r="M46" s="5" t="s">
        <v>132</v>
      </c>
      <c r="N46" s="5" t="s">
        <v>744</v>
      </c>
      <c r="O46" s="5" t="s">
        <v>64</v>
      </c>
      <c r="P46" s="5" t="s">
        <v>362</v>
      </c>
      <c r="Q46" s="5" t="s">
        <v>219</v>
      </c>
      <c r="R46" s="5" t="s">
        <v>95</v>
      </c>
      <c r="S46" s="5" t="s">
        <v>1345</v>
      </c>
      <c r="T46" s="5" t="s">
        <v>187</v>
      </c>
      <c r="U46" s="5" t="s">
        <v>539</v>
      </c>
      <c r="V46" s="5" t="s">
        <v>303</v>
      </c>
      <c r="W46" s="5" t="s">
        <v>773</v>
      </c>
      <c r="X46" s="38" t="s">
        <v>412</v>
      </c>
      <c r="Y46" s="43" t="s">
        <v>1858</v>
      </c>
      <c r="Z46" s="39" t="s">
        <v>1859</v>
      </c>
      <c r="AA46" s="417" t="s">
        <v>1860</v>
      </c>
      <c r="AB46" s="5" t="s">
        <v>1102</v>
      </c>
      <c r="AD46" s="131">
        <v>45</v>
      </c>
      <c r="AE46" s="348">
        <v>1</v>
      </c>
      <c r="AF46" s="348">
        <v>3</v>
      </c>
      <c r="AG46" s="348">
        <v>2</v>
      </c>
      <c r="AH46" s="358" t="s">
        <v>1720</v>
      </c>
      <c r="AI46" s="352">
        <v>6</v>
      </c>
      <c r="AJ46" s="353">
        <v>1.38</v>
      </c>
      <c r="AK46" s="354">
        <v>3</v>
      </c>
      <c r="AL46" s="355">
        <v>64</v>
      </c>
      <c r="AM46" s="356">
        <v>3.9</v>
      </c>
      <c r="AN46" s="357">
        <v>57</v>
      </c>
      <c r="AO46" s="349">
        <v>1.754</v>
      </c>
      <c r="AP46" s="55">
        <f t="shared" si="28"/>
        <v>45</v>
      </c>
      <c r="AQ46" s="16">
        <f t="shared" si="1"/>
        <v>45</v>
      </c>
      <c r="AR46" s="16" t="b">
        <f t="shared" si="2"/>
        <v>0</v>
      </c>
      <c r="AS46" s="16" t="b">
        <f t="shared" si="3"/>
        <v>0</v>
      </c>
      <c r="AT46" s="16" t="b">
        <f t="shared" si="4"/>
        <v>0</v>
      </c>
      <c r="AU46" s="16" t="b">
        <f t="shared" si="5"/>
        <v>0</v>
      </c>
      <c r="BA46" s="61">
        <v>1</v>
      </c>
      <c r="BB46" s="157">
        <v>100</v>
      </c>
      <c r="BC46" s="158">
        <v>0.14000000000000001</v>
      </c>
      <c r="BD46" s="213">
        <v>0.19</v>
      </c>
      <c r="BE46" s="222">
        <f>LOOKUP(BA2,BA46:BA75,BB46:BB75)</f>
        <v>80</v>
      </c>
      <c r="BF46" s="220">
        <f>IF(BF43&gt;8,LOOKUP(BA2,BA46:BA75,BD46:BD75),LOOKUP(BA2,BA46:BA75,BC46:BC75))</f>
        <v>0.12</v>
      </c>
      <c r="BG46" s="9"/>
      <c r="BH46" s="9"/>
      <c r="BI46" s="9"/>
      <c r="BJ46" s="9"/>
      <c r="BK46" s="9"/>
      <c r="BL46" s="9"/>
      <c r="BS46" s="14"/>
      <c r="BT46" s="14"/>
      <c r="BV46" s="8"/>
      <c r="BY46" s="23" t="str">
        <f t="shared" si="11"/>
        <v/>
      </c>
      <c r="CW46" s="375"/>
      <c r="CX46" s="375"/>
      <c r="CZ46" s="375"/>
      <c r="DA46" s="375"/>
      <c r="DB46" s="375"/>
      <c r="DD46" s="375"/>
      <c r="DE46" s="375"/>
      <c r="DG46" s="375"/>
      <c r="DI46" s="375"/>
      <c r="DK46" s="375"/>
      <c r="DM46" s="375"/>
      <c r="DN46" s="375"/>
      <c r="DO46" s="375"/>
      <c r="DP46" s="375"/>
      <c r="DT46" s="375"/>
      <c r="DY46" s="375"/>
      <c r="DZ46" s="375"/>
      <c r="EA46" s="375"/>
      <c r="EB46" s="375"/>
      <c r="EC46" s="375"/>
      <c r="ED46" s="375"/>
      <c r="EE46" s="375"/>
      <c r="EF46" s="375"/>
      <c r="EX46" s="14"/>
      <c r="FC46" s="24"/>
      <c r="FD46" s="14"/>
      <c r="FE46" s="14"/>
      <c r="FF46" s="14"/>
      <c r="FG46" s="14"/>
      <c r="FH46" s="14"/>
      <c r="FI46" s="14"/>
      <c r="FJ46" s="14"/>
      <c r="FK46" s="14"/>
      <c r="FL46" s="14"/>
      <c r="FM46" s="14"/>
      <c r="FN46" s="14"/>
      <c r="FO46" s="14"/>
      <c r="FP46" s="14"/>
      <c r="FQ46" s="14"/>
      <c r="FR46" s="26"/>
      <c r="IG46" s="24"/>
      <c r="IH46" s="14"/>
      <c r="II46" s="14"/>
      <c r="IJ46" s="14"/>
      <c r="IK46" s="14"/>
      <c r="IL46" s="24"/>
      <c r="IM46"/>
      <c r="IN46"/>
      <c r="IO46" s="102">
        <f>INT(IO45)</f>
        <v>-4</v>
      </c>
      <c r="IP46" s="104"/>
      <c r="IQ46" s="102">
        <f>INT(IQ45)</f>
        <v>-4</v>
      </c>
      <c r="IR46" s="104"/>
      <c r="IS46" s="102">
        <f>INT(IS45)</f>
        <v>-1</v>
      </c>
      <c r="IT46" s="104"/>
      <c r="IU46" s="102"/>
      <c r="IV46"/>
      <c r="IW46"/>
      <c r="IX46" s="16"/>
      <c r="IY46" s="16"/>
      <c r="IZ46" s="16"/>
    </row>
    <row r="47" spans="1:260" ht="15.95" customHeight="1">
      <c r="G47" s="5" t="str">
        <f>IF(BW135=0,"",BW135)</f>
        <v/>
      </c>
      <c r="H47" t="s">
        <v>300</v>
      </c>
      <c r="I47" s="5" t="str">
        <f t="shared" si="27"/>
        <v>Nickel, Alloyed, &lt; 1250 N/mm2</v>
      </c>
      <c r="J47" s="5" t="s">
        <v>723</v>
      </c>
      <c r="K47" s="5" t="s">
        <v>678</v>
      </c>
      <c r="L47" s="40" t="s">
        <v>956</v>
      </c>
      <c r="M47" s="5" t="s">
        <v>1139</v>
      </c>
      <c r="N47" s="5" t="s">
        <v>551</v>
      </c>
      <c r="O47" s="5" t="s">
        <v>640</v>
      </c>
      <c r="P47" s="5" t="s">
        <v>363</v>
      </c>
      <c r="Q47" s="5" t="s">
        <v>220</v>
      </c>
      <c r="R47" s="5" t="s">
        <v>96</v>
      </c>
      <c r="S47" s="5" t="s">
        <v>1346</v>
      </c>
      <c r="T47" s="5" t="s">
        <v>188</v>
      </c>
      <c r="U47" s="5" t="s">
        <v>1320</v>
      </c>
      <c r="V47" s="5" t="s">
        <v>304</v>
      </c>
      <c r="W47" s="5" t="s">
        <v>1433</v>
      </c>
      <c r="X47" s="38" t="s">
        <v>413</v>
      </c>
      <c r="Y47" s="43" t="s">
        <v>1861</v>
      </c>
      <c r="Z47" s="39" t="s">
        <v>1862</v>
      </c>
      <c r="AA47" s="417" t="s">
        <v>1863</v>
      </c>
      <c r="AB47" s="5" t="s">
        <v>1041</v>
      </c>
      <c r="AD47" s="131">
        <v>46</v>
      </c>
      <c r="AE47" s="348">
        <v>2</v>
      </c>
      <c r="AF47" s="348">
        <v>1</v>
      </c>
      <c r="AG47" s="348">
        <v>1</v>
      </c>
      <c r="AH47" s="351" t="s">
        <v>1569</v>
      </c>
      <c r="AI47" s="352">
        <v>18</v>
      </c>
      <c r="AJ47" s="353">
        <v>14</v>
      </c>
      <c r="AK47" s="354">
        <v>5</v>
      </c>
      <c r="AL47" s="355">
        <v>1.5</v>
      </c>
      <c r="AM47" s="356">
        <v>23.9</v>
      </c>
      <c r="AN47" s="357">
        <v>102</v>
      </c>
      <c r="AO47" s="349">
        <v>15.6</v>
      </c>
      <c r="AP47" s="55">
        <f t="shared" si="28"/>
        <v>46</v>
      </c>
      <c r="AQ47" s="16" t="b">
        <f t="shared" si="1"/>
        <v>0</v>
      </c>
      <c r="AR47" s="16" t="b">
        <f t="shared" si="2"/>
        <v>0</v>
      </c>
      <c r="AS47" s="16">
        <f t="shared" si="3"/>
        <v>46</v>
      </c>
      <c r="AT47" s="16">
        <f t="shared" si="4"/>
        <v>46</v>
      </c>
      <c r="AU47" s="16" t="b">
        <f t="shared" si="5"/>
        <v>0</v>
      </c>
      <c r="BA47" s="61">
        <v>2</v>
      </c>
      <c r="BB47" s="157">
        <v>90</v>
      </c>
      <c r="BC47" s="158">
        <v>0.13</v>
      </c>
      <c r="BD47" s="213">
        <v>0.18</v>
      </c>
      <c r="BE47" s="9"/>
      <c r="BF47" s="245">
        <f>IF(D27&gt;0,D27,BF46)</f>
        <v>0.12</v>
      </c>
      <c r="BG47" s="9"/>
      <c r="BH47" s="9"/>
      <c r="BI47" s="9"/>
      <c r="BJ47" s="9"/>
      <c r="BK47" s="9"/>
      <c r="BL47" s="9"/>
      <c r="BO47" s="7" t="s">
        <v>960</v>
      </c>
      <c r="BP47" s="16">
        <f>C11/BL6-0.001</f>
        <v>13.999000000000001</v>
      </c>
      <c r="BS47" s="14"/>
      <c r="BT47" s="14"/>
      <c r="BV47" s="8"/>
      <c r="BY47" s="23" t="str">
        <f t="shared" si="11"/>
        <v/>
      </c>
      <c r="CW47" s="375"/>
      <c r="CX47" s="375"/>
      <c r="CZ47" s="375"/>
      <c r="DA47" s="375"/>
      <c r="DB47" s="375"/>
      <c r="DD47" s="375"/>
      <c r="DE47" s="375"/>
      <c r="DG47" s="375"/>
      <c r="DI47" s="375"/>
      <c r="DK47" s="375"/>
      <c r="DM47" s="375"/>
      <c r="DN47" s="375"/>
      <c r="DO47" s="375"/>
      <c r="DP47" s="375"/>
      <c r="DT47" s="375"/>
      <c r="DY47" s="375"/>
      <c r="DZ47" s="375"/>
      <c r="EA47" s="375"/>
      <c r="EB47" s="375"/>
      <c r="EC47" s="375"/>
      <c r="ED47" s="375"/>
      <c r="EE47" s="375"/>
      <c r="EF47" s="375"/>
      <c r="EX47" s="14"/>
      <c r="FD47" s="14"/>
      <c r="FE47" s="14"/>
      <c r="FF47" s="14"/>
      <c r="FG47" s="14"/>
      <c r="FH47" s="14"/>
      <c r="FI47" s="14"/>
      <c r="FJ47" s="14"/>
      <c r="FK47" s="14"/>
      <c r="FL47" s="14"/>
      <c r="FM47" s="14"/>
      <c r="FN47" s="14"/>
      <c r="FO47" s="14"/>
      <c r="FP47" s="14"/>
      <c r="FQ47" s="14"/>
      <c r="IH47" s="14"/>
      <c r="II47" s="14"/>
      <c r="IJ47" s="14"/>
      <c r="IK47" s="14"/>
      <c r="IL47" s="26">
        <v>7</v>
      </c>
      <c r="IM47" s="14" t="s">
        <v>1749</v>
      </c>
      <c r="IN47" s="14" t="s">
        <v>674</v>
      </c>
      <c r="IO47" s="14" t="str">
        <f>SUBSTITUTE(IO45,",",".")</f>
        <v>-3.84</v>
      </c>
      <c r="IP47" s="14" t="str">
        <f>IF(IO45=IO46,". Y"," Y")</f>
        <v xml:space="preserve"> Y</v>
      </c>
      <c r="IQ47" s="14" t="str">
        <f>SUBSTITUTE(IQ45,",",".")</f>
        <v>-3.375</v>
      </c>
      <c r="IR47" s="14" t="str">
        <f>IF(IQ45=IQ46,". Z"," Z")</f>
        <v xml:space="preserve"> Z</v>
      </c>
      <c r="IS47" s="14" t="str">
        <f>SUBSTITUTE(IS45,",",".")</f>
        <v>-0.313</v>
      </c>
      <c r="IT47" s="418" t="str">
        <f>IF(BT5&gt;1,IF(BT5&gt;2," U"," CR=")," R")</f>
        <v xml:space="preserve"> R</v>
      </c>
      <c r="IU47" s="14">
        <f>BK51</f>
        <v>3.403</v>
      </c>
      <c r="IV47" s="14"/>
      <c r="IW47" s="14"/>
      <c r="IX47" s="16"/>
      <c r="IY47" s="16"/>
      <c r="IZ47" s="16"/>
    </row>
    <row r="48" spans="1:260" ht="15.95" customHeight="1">
      <c r="G48" s="5" t="str">
        <f>IF(BW138=0,"",BW138)</f>
        <v/>
      </c>
      <c r="I48" s="5" t="str">
        <f t="shared" si="27"/>
        <v>Copper, Unalloyed, &lt; 350 N/mm2</v>
      </c>
      <c r="J48" s="5" t="s">
        <v>724</v>
      </c>
      <c r="K48" s="5" t="s">
        <v>753</v>
      </c>
      <c r="L48" s="40" t="s">
        <v>961</v>
      </c>
      <c r="M48" s="5" t="s">
        <v>1140</v>
      </c>
      <c r="N48" s="5" t="s">
        <v>1371</v>
      </c>
      <c r="O48" s="5" t="s">
        <v>574</v>
      </c>
      <c r="P48" s="5" t="s">
        <v>366</v>
      </c>
      <c r="Q48" s="5" t="s">
        <v>221</v>
      </c>
      <c r="R48" s="5" t="s">
        <v>97</v>
      </c>
      <c r="S48" s="5" t="s">
        <v>1347</v>
      </c>
      <c r="T48" s="5" t="s">
        <v>189</v>
      </c>
      <c r="U48" s="5" t="s">
        <v>1321</v>
      </c>
      <c r="V48" s="5" t="s">
        <v>305</v>
      </c>
      <c r="W48" s="5" t="s">
        <v>779</v>
      </c>
      <c r="X48" s="38" t="s">
        <v>414</v>
      </c>
      <c r="Y48" s="43" t="s">
        <v>1864</v>
      </c>
      <c r="Z48" s="39" t="s">
        <v>1865</v>
      </c>
      <c r="AA48" s="417" t="s">
        <v>1866</v>
      </c>
      <c r="AB48" s="5" t="s">
        <v>1042</v>
      </c>
      <c r="AD48" s="131">
        <v>47</v>
      </c>
      <c r="AE48" s="348">
        <v>2</v>
      </c>
      <c r="AF48" s="348">
        <v>1</v>
      </c>
      <c r="AG48" s="348">
        <v>1</v>
      </c>
      <c r="AH48" s="351" t="s">
        <v>1570</v>
      </c>
      <c r="AI48" s="352">
        <v>16</v>
      </c>
      <c r="AJ48" s="353">
        <v>12</v>
      </c>
      <c r="AK48" s="354">
        <v>4</v>
      </c>
      <c r="AL48" s="355">
        <v>1.5</v>
      </c>
      <c r="AM48" s="356">
        <v>20.9</v>
      </c>
      <c r="AN48" s="357">
        <v>100</v>
      </c>
      <c r="AO48" s="349">
        <v>13.6</v>
      </c>
      <c r="AP48" s="55">
        <f t="shared" si="28"/>
        <v>47</v>
      </c>
      <c r="AQ48" s="16" t="b">
        <f t="shared" si="1"/>
        <v>0</v>
      </c>
      <c r="AR48" s="16" t="b">
        <f t="shared" si="2"/>
        <v>0</v>
      </c>
      <c r="AS48" s="16">
        <f t="shared" si="3"/>
        <v>47</v>
      </c>
      <c r="AT48" s="16">
        <f t="shared" si="4"/>
        <v>47</v>
      </c>
      <c r="AU48" s="16" t="b">
        <f t="shared" si="5"/>
        <v>0</v>
      </c>
      <c r="BA48" s="61">
        <v>3</v>
      </c>
      <c r="BB48" s="157">
        <v>80</v>
      </c>
      <c r="BC48" s="158">
        <v>0.12</v>
      </c>
      <c r="BD48" s="213">
        <v>0.17</v>
      </c>
      <c r="BE48" s="9"/>
      <c r="BF48" s="9"/>
      <c r="BG48" s="9"/>
      <c r="BH48" s="9"/>
      <c r="BI48" s="9"/>
      <c r="BJ48" s="9"/>
      <c r="BK48" s="9"/>
      <c r="BL48" s="9"/>
      <c r="BO48" s="7" t="s">
        <v>670</v>
      </c>
      <c r="BP48" s="17">
        <f>INT(BP47)+1</f>
        <v>14</v>
      </c>
      <c r="BQ48" t="s">
        <v>1743</v>
      </c>
      <c r="BS48" s="14"/>
      <c r="BT48" s="14"/>
      <c r="BV48" s="8">
        <v>16</v>
      </c>
      <c r="BW48" s="54" t="str">
        <f>LOOKUP(BT$54,BX$2:EM$2,BX48:EM48)</f>
        <v/>
      </c>
      <c r="BY48" s="23" t="str">
        <f t="shared" si="11"/>
        <v/>
      </c>
      <c r="BZ48" s="23" t="str">
        <f>BY30</f>
        <v>G90 G49 G00 Z200. M5</v>
      </c>
      <c r="CA48" s="23" t="str">
        <f>BY30</f>
        <v>G90 G49 G00 Z200. M5</v>
      </c>
      <c r="CB48" s="23" t="str">
        <f>BZ39</f>
        <v>G03 X-4.063 Y3.375 Z0.313 R3,433</v>
      </c>
      <c r="CC48" s="4" t="str">
        <f>BY33</f>
        <v>M30</v>
      </c>
      <c r="CD48" s="23" t="str">
        <f>BZ33</f>
        <v>G03 X4.063 Y3.375 Z0.313 R3,433</v>
      </c>
      <c r="CF48" s="23" t="str">
        <f>BZ51</f>
        <v>M30</v>
      </c>
      <c r="CH48" s="23" t="str">
        <f>$CF$42</f>
        <v>G00 G40 X0. Y-3.375</v>
      </c>
      <c r="CJ48" s="375" t="str">
        <f>$CH$42</f>
        <v>G03 X0. Y0. Z1.25 I-4.063 J0.</v>
      </c>
      <c r="CL48" s="375" t="str">
        <f>$CH$42</f>
        <v>G03 X0. Y0. Z1.25 I-4.063 J0.</v>
      </c>
      <c r="CN48" s="375" t="str">
        <f>$CF$36</f>
        <v>G03 X0. Y0. Z1.25 I-4.063 J0. F80</v>
      </c>
      <c r="CP48" s="23" t="str">
        <f>$CF$33</f>
        <v>G03 X4.063 Y3.375 Z0.313 R3,433</v>
      </c>
      <c r="CQ48" s="23" t="str">
        <f>CG33</f>
        <v>M30</v>
      </c>
      <c r="CR48" s="23" t="str">
        <f>$CF$30</f>
        <v>G41 D10 X0. Y-3,375 F40</v>
      </c>
      <c r="CS48" s="23" t="str">
        <f>CG30</f>
        <v>G90 G49 G00 Z200. M5</v>
      </c>
      <c r="CT48" s="23" t="str">
        <f>$CF$27</f>
        <v>G00 Z-16.875</v>
      </c>
      <c r="CU48" s="23" t="str">
        <f>CG27</f>
        <v>G00 G40 X0. Y-3.375</v>
      </c>
      <c r="CV48" s="23" t="str">
        <f>$CF$24</f>
        <v>G00 G40 X0. Y-3.375</v>
      </c>
      <c r="CW48" s="23" t="str">
        <f>CG24</f>
        <v>G03 X-4.063 Y3.375 Z0.313 R3,433</v>
      </c>
      <c r="CX48" s="23" t="str">
        <f>$CF$21</f>
        <v>G03 X-3.84 Y3.375 Z0.313 R3,403</v>
      </c>
      <c r="CY48" s="375" t="str">
        <f>CG21</f>
        <v>G03 X0. Y0. Z1.25 I-4.063 J0.</v>
      </c>
      <c r="CZ48" s="375" t="str">
        <f>$CH$21</f>
        <v>G03 X0. Y0. Z1.25 I-3.84 J0.</v>
      </c>
      <c r="DA48" s="375" t="str">
        <f>$CG$21</f>
        <v>G03 X0. Y0. Z1.25 I-4.063 J0.</v>
      </c>
      <c r="DB48" s="375" t="str">
        <f>$CH$21</f>
        <v>G03 X0. Y0. Z1.25 I-3.84 J0.</v>
      </c>
      <c r="DC48" s="375" t="str">
        <f>$CG$21</f>
        <v>G03 X0. Y0. Z1.25 I-4.063 J0.</v>
      </c>
      <c r="DD48" s="375" t="str">
        <f>$CH$21</f>
        <v>G03 X0. Y0. Z1.25 I-3.84 J0.</v>
      </c>
      <c r="DE48" s="375"/>
      <c r="DF48" s="23" t="str">
        <f>DE30</f>
        <v>M30</v>
      </c>
      <c r="DG48" s="375"/>
      <c r="DH48" s="23" t="str">
        <f>$DF$42</f>
        <v>G00 G40 X0. Y3.375</v>
      </c>
      <c r="DI48" s="375"/>
      <c r="DJ48" s="375" t="str">
        <f>$DH$42</f>
        <v>G02 X0. Y0. Z-1.25 I-4.063 J0.</v>
      </c>
      <c r="DK48" s="375"/>
      <c r="DL48" s="375" t="str">
        <f t="shared" ref="DL48:DL54" si="29">$DH$42</f>
        <v>G02 X0. Y0. Z-1.25 I-4.063 J0.</v>
      </c>
      <c r="DM48" s="375"/>
      <c r="DN48" s="375" t="str">
        <f>$DF$36</f>
        <v>G02 X0. Y0. Z-1.25 I-4.063 J0. F80</v>
      </c>
      <c r="DO48" s="375"/>
      <c r="DP48" s="23" t="str">
        <f>$DF$33</f>
        <v>G02 X4.063 Y-3.375 Z-0.313 R3,433</v>
      </c>
      <c r="DQ48" s="23" t="str">
        <f>$DE$30</f>
        <v>M30</v>
      </c>
      <c r="DR48" s="23" t="str">
        <f>$DF$30</f>
        <v>G91 G42 D10 X0. Y3,375 F40</v>
      </c>
      <c r="DS48" s="23" t="str">
        <f>$DE$27</f>
        <v>G90 G49 G00 Z200. M5</v>
      </c>
      <c r="DT48" s="23" t="str">
        <f>$DF$27</f>
        <v>G90 G00 Z0.313</v>
      </c>
      <c r="DU48" s="23" t="str">
        <f>$DE$24</f>
        <v>G00 G40 X0. Y3.375</v>
      </c>
      <c r="DV48" s="23" t="str">
        <f>$DF$24</f>
        <v>G00 G40 X0. Y3.375</v>
      </c>
      <c r="DW48" s="23" t="str">
        <f>$DE$21</f>
        <v>G02 X-4.063 Y-3.375 Z-0.313 R3,433</v>
      </c>
      <c r="DX48" s="23" t="str">
        <f>$DF$21</f>
        <v>G02 X-3.84 Y-3.375 Z-0.313 R3,403</v>
      </c>
      <c r="DY48" s="375" t="str">
        <f>$DG$21</f>
        <v>G02 X0. Y0. Z-1.25 I-4.063 J0.</v>
      </c>
      <c r="DZ48" s="375" t="str">
        <f t="shared" si="23"/>
        <v>G02 X0. Y0. Z-1.25 I-3.84 J0.</v>
      </c>
      <c r="EA48" s="375" t="str">
        <f>$DG$21</f>
        <v>G02 X0. Y0. Z-1.25 I-4.063 J0.</v>
      </c>
      <c r="EB48" s="375" t="str">
        <f t="shared" si="24"/>
        <v>G02 X0. Y0. Z-1.25 I-3.84 J0.</v>
      </c>
      <c r="EC48" s="375" t="str">
        <f>$DG$21</f>
        <v>G02 X0. Y0. Z-1.25 I-4.063 J0.</v>
      </c>
      <c r="ED48" s="375" t="str">
        <f t="shared" si="25"/>
        <v>G02 X0. Y0. Z-1.25 I-3.84 J0.</v>
      </c>
      <c r="EE48" s="375" t="str">
        <f>$DG$21</f>
        <v>G02 X0. Y0. Z-1.25 I-4.063 J0.</v>
      </c>
      <c r="EF48" s="375" t="str">
        <f t="shared" si="26"/>
        <v>G02 X0. Y0. Z-1.25 I-3.84 J0.</v>
      </c>
      <c r="EH48" s="23" t="str">
        <f>EG21</f>
        <v>G03 X-4.082 Y-4.072 Z0.313 I-0.01 J-4.072</v>
      </c>
      <c r="EJ48" s="23" t="str">
        <f>BZ42</f>
        <v>G00 G40 X0. Y-3.375</v>
      </c>
      <c r="EK48" s="23" t="str">
        <f>EG42</f>
        <v>M30</v>
      </c>
      <c r="EL48" s="23" t="str">
        <f>EH42</f>
        <v>G03 X4.063 Y3.375 Z0.313 R3,433</v>
      </c>
      <c r="EX48" s="14"/>
      <c r="FD48" s="14"/>
      <c r="FE48" s="14"/>
      <c r="FF48" s="14"/>
      <c r="FG48" s="14"/>
      <c r="FH48" s="14"/>
      <c r="FI48" s="14"/>
      <c r="FJ48" s="14"/>
      <c r="FK48" s="14"/>
      <c r="FL48" s="14"/>
      <c r="FM48" s="14"/>
      <c r="FN48" s="14"/>
      <c r="FO48" s="14"/>
      <c r="FP48" s="14"/>
      <c r="FQ48" s="14"/>
      <c r="IH48" s="14"/>
      <c r="II48" s="14"/>
      <c r="IJ48" s="14"/>
      <c r="IK48" s="14"/>
      <c r="IL48" s="26"/>
      <c r="IM48" s="14"/>
      <c r="IN48" s="14"/>
      <c r="IO48" s="14"/>
      <c r="IP48" s="103">
        <v>0</v>
      </c>
      <c r="IQ48" s="103"/>
      <c r="IR48" s="101">
        <f>-BP55</f>
        <v>3.375</v>
      </c>
      <c r="IS48" s="14"/>
      <c r="IT48" s="14"/>
      <c r="IU48" s="14"/>
      <c r="IV48" s="14"/>
      <c r="IW48" s="14"/>
      <c r="IX48" s="16"/>
      <c r="IY48" s="16"/>
      <c r="IZ48" s="16"/>
    </row>
    <row r="49" spans="7:260" ht="15.95" customHeight="1">
      <c r="G49" s="5" t="str">
        <f>IF(BW141=0,"",BW141)</f>
        <v/>
      </c>
      <c r="I49" s="5" t="str">
        <f t="shared" si="27"/>
        <v>Copper, Brass, Bronze, &lt; 700 N/mm2</v>
      </c>
      <c r="J49" s="5" t="s">
        <v>732</v>
      </c>
      <c r="K49" s="5" t="s">
        <v>601</v>
      </c>
      <c r="L49" s="40" t="s">
        <v>966</v>
      </c>
      <c r="M49" s="5" t="s">
        <v>329</v>
      </c>
      <c r="N49" s="5" t="s">
        <v>1402</v>
      </c>
      <c r="O49" s="5" t="s">
        <v>575</v>
      </c>
      <c r="P49" s="5" t="s">
        <v>367</v>
      </c>
      <c r="Q49" s="5" t="s">
        <v>222</v>
      </c>
      <c r="R49" s="5" t="s">
        <v>98</v>
      </c>
      <c r="S49" s="5" t="s">
        <v>1348</v>
      </c>
      <c r="T49" s="5" t="s">
        <v>190</v>
      </c>
      <c r="U49" s="5" t="s">
        <v>525</v>
      </c>
      <c r="V49" s="5" t="s">
        <v>306</v>
      </c>
      <c r="W49" s="5" t="s">
        <v>775</v>
      </c>
      <c r="X49" s="38" t="s">
        <v>1448</v>
      </c>
      <c r="Y49" s="43" t="s">
        <v>1867</v>
      </c>
      <c r="Z49" s="39" t="s">
        <v>1868</v>
      </c>
      <c r="AA49" s="417" t="s">
        <v>1869</v>
      </c>
      <c r="AB49" s="5" t="s">
        <v>1043</v>
      </c>
      <c r="AD49" s="131">
        <v>48</v>
      </c>
      <c r="AE49" s="348">
        <v>2</v>
      </c>
      <c r="AF49" s="348">
        <v>1</v>
      </c>
      <c r="AG49" s="348">
        <v>1</v>
      </c>
      <c r="AH49" s="351" t="s">
        <v>1571</v>
      </c>
      <c r="AI49" s="352">
        <v>14</v>
      </c>
      <c r="AJ49" s="353">
        <v>10</v>
      </c>
      <c r="AK49" s="354">
        <v>4</v>
      </c>
      <c r="AL49" s="355">
        <v>1.5</v>
      </c>
      <c r="AM49" s="356">
        <v>17.899999999999999</v>
      </c>
      <c r="AN49" s="357">
        <v>90</v>
      </c>
      <c r="AO49" s="349">
        <v>11.6</v>
      </c>
      <c r="AP49" s="55">
        <f t="shared" si="28"/>
        <v>48</v>
      </c>
      <c r="AQ49" s="16" t="b">
        <f t="shared" si="1"/>
        <v>0</v>
      </c>
      <c r="AR49" s="16" t="b">
        <f t="shared" si="2"/>
        <v>0</v>
      </c>
      <c r="AS49" s="16">
        <f t="shared" si="3"/>
        <v>48</v>
      </c>
      <c r="AT49" s="16">
        <f t="shared" si="4"/>
        <v>48</v>
      </c>
      <c r="AU49" s="16" t="b">
        <f t="shared" si="5"/>
        <v>0</v>
      </c>
      <c r="BA49" s="61">
        <v>4</v>
      </c>
      <c r="BB49" s="157">
        <v>100</v>
      </c>
      <c r="BC49" s="158">
        <v>0.13</v>
      </c>
      <c r="BD49" s="213">
        <v>0.18</v>
      </c>
      <c r="BE49" s="9"/>
      <c r="BF49" s="9"/>
      <c r="BG49" s="164" t="s">
        <v>970</v>
      </c>
      <c r="BH49" s="9"/>
      <c r="BI49" s="109" t="s">
        <v>690</v>
      </c>
      <c r="BJ49" s="110">
        <f>0.54*BL6</f>
        <v>0.67500000000000004</v>
      </c>
      <c r="BO49" s="99" t="s">
        <v>971</v>
      </c>
      <c r="BP49" s="100">
        <f>IF(BP42=2,C9,ROUND(C9+0.1*BL6,3))</f>
        <v>8.125</v>
      </c>
      <c r="BS49" s="14"/>
      <c r="BT49" s="14"/>
      <c r="BV49" s="8"/>
      <c r="BY49" s="23" t="str">
        <f t="shared" si="11"/>
        <v/>
      </c>
      <c r="CL49" s="375"/>
      <c r="CY49" s="375"/>
      <c r="CZ49" s="375"/>
      <c r="DB49" s="375"/>
      <c r="DD49" s="375"/>
      <c r="DE49" s="375"/>
      <c r="DF49" s="375"/>
      <c r="DG49" s="375"/>
      <c r="DH49" s="375"/>
      <c r="DI49" s="375"/>
      <c r="DJ49" s="375"/>
      <c r="DK49" s="375"/>
      <c r="DL49" s="375"/>
      <c r="DM49" s="375"/>
      <c r="DN49" s="375"/>
      <c r="DO49" s="375"/>
      <c r="DP49" s="375"/>
      <c r="DQ49" s="375"/>
      <c r="DR49" s="375"/>
      <c r="DV49" s="375"/>
      <c r="DY49" s="375"/>
      <c r="DZ49" s="375"/>
      <c r="EA49" s="375"/>
      <c r="EB49" s="375"/>
      <c r="EC49" s="375"/>
      <c r="ED49" s="375"/>
      <c r="EE49" s="375"/>
      <c r="EF49" s="375"/>
      <c r="EX49" s="14"/>
      <c r="IL49" s="24"/>
      <c r="IM49"/>
      <c r="IN49"/>
      <c r="IO49"/>
      <c r="IP49" s="102">
        <f>INT(IP48)</f>
        <v>0</v>
      </c>
      <c r="IQ49" s="104"/>
      <c r="IR49" s="102">
        <f>INT(IR48)</f>
        <v>3</v>
      </c>
      <c r="IS49"/>
      <c r="IT49"/>
      <c r="IU49"/>
      <c r="IV49"/>
      <c r="IW49"/>
      <c r="IX49" s="16"/>
      <c r="IY49" s="16"/>
      <c r="IZ49" s="16"/>
    </row>
    <row r="50" spans="7:260" ht="15.95" customHeight="1">
      <c r="G50" s="5" t="str">
        <f>IF(BW144=0,"",BW144)</f>
        <v/>
      </c>
      <c r="I50" s="5" t="str">
        <f t="shared" si="27"/>
        <v>Copper, High Strength Bronze, &lt; 1500 N/mm2</v>
      </c>
      <c r="J50" s="5" t="s">
        <v>610</v>
      </c>
      <c r="K50" s="5" t="s">
        <v>1379</v>
      </c>
      <c r="L50" s="40" t="s">
        <v>972</v>
      </c>
      <c r="M50" s="5" t="s">
        <v>330</v>
      </c>
      <c r="N50" s="5" t="s">
        <v>1401</v>
      </c>
      <c r="O50" s="5" t="s">
        <v>1270</v>
      </c>
      <c r="P50" s="5" t="s">
        <v>368</v>
      </c>
      <c r="Q50" s="5" t="s">
        <v>223</v>
      </c>
      <c r="R50" s="5" t="s">
        <v>99</v>
      </c>
      <c r="S50" s="5" t="s">
        <v>31</v>
      </c>
      <c r="T50" s="5" t="s">
        <v>191</v>
      </c>
      <c r="U50" s="5" t="s">
        <v>526</v>
      </c>
      <c r="V50" s="5" t="s">
        <v>307</v>
      </c>
      <c r="W50" s="5" t="s">
        <v>774</v>
      </c>
      <c r="X50" s="38" t="s">
        <v>0</v>
      </c>
      <c r="Y50" s="43" t="s">
        <v>1870</v>
      </c>
      <c r="Z50" s="39" t="s">
        <v>1871</v>
      </c>
      <c r="AA50" s="417" t="s">
        <v>1872</v>
      </c>
      <c r="AB50" s="5" t="s">
        <v>1044</v>
      </c>
      <c r="AD50" s="131">
        <v>49</v>
      </c>
      <c r="AE50" s="348">
        <v>2</v>
      </c>
      <c r="AF50" s="348">
        <v>1</v>
      </c>
      <c r="AG50" s="348">
        <v>1</v>
      </c>
      <c r="AH50" s="351" t="s">
        <v>1572</v>
      </c>
      <c r="AI50" s="352">
        <v>14</v>
      </c>
      <c r="AJ50" s="353">
        <v>10.3</v>
      </c>
      <c r="AK50" s="354">
        <v>4</v>
      </c>
      <c r="AL50" s="355">
        <v>1.25</v>
      </c>
      <c r="AM50" s="356">
        <v>17.68</v>
      </c>
      <c r="AN50" s="357">
        <v>80</v>
      </c>
      <c r="AO50" s="349">
        <v>11.8</v>
      </c>
      <c r="AP50" s="55">
        <f t="shared" si="28"/>
        <v>49</v>
      </c>
      <c r="AQ50" s="16" t="b">
        <f t="shared" si="1"/>
        <v>0</v>
      </c>
      <c r="AR50" s="16">
        <f t="shared" si="2"/>
        <v>49</v>
      </c>
      <c r="AS50" s="16">
        <f t="shared" si="3"/>
        <v>49</v>
      </c>
      <c r="AT50" s="16">
        <f t="shared" si="4"/>
        <v>49</v>
      </c>
      <c r="AU50" s="16" t="b">
        <f t="shared" si="5"/>
        <v>0</v>
      </c>
      <c r="BA50" s="61">
        <v>5</v>
      </c>
      <c r="BB50" s="157">
        <v>80</v>
      </c>
      <c r="BC50" s="158">
        <v>0.12</v>
      </c>
      <c r="BD50" s="213">
        <v>0.17</v>
      </c>
      <c r="BE50" s="12"/>
      <c r="BF50" s="12"/>
      <c r="BG50" s="165" t="s">
        <v>976</v>
      </c>
      <c r="BH50" s="9"/>
      <c r="BI50" s="9" t="s">
        <v>977</v>
      </c>
      <c r="BJ50" s="9" t="s">
        <v>694</v>
      </c>
      <c r="BK50" s="21" t="s">
        <v>695</v>
      </c>
      <c r="BL50" s="16" t="s">
        <v>696</v>
      </c>
      <c r="BM50" s="7" t="s">
        <v>1387</v>
      </c>
      <c r="BN50" s="7" t="s">
        <v>1388</v>
      </c>
      <c r="BO50" s="99" t="s">
        <v>693</v>
      </c>
      <c r="BP50" s="100">
        <f>IF(BP42=4,ROUND((C22/2),3),ROUND((C9-BL6)/2,3))</f>
        <v>3.375</v>
      </c>
      <c r="BS50" s="14"/>
      <c r="BT50" s="14"/>
      <c r="BV50" s="8"/>
      <c r="BY50" s="23" t="str">
        <f t="shared" si="11"/>
        <v/>
      </c>
      <c r="CL50" s="375"/>
      <c r="CY50" s="375"/>
      <c r="CZ50" s="375"/>
      <c r="DB50" s="375"/>
      <c r="DD50" s="375"/>
      <c r="DE50" s="375"/>
      <c r="DF50" s="375"/>
      <c r="DG50" s="375"/>
      <c r="DH50" s="375"/>
      <c r="DI50" s="375"/>
      <c r="DJ50" s="375"/>
      <c r="DK50" s="375"/>
      <c r="DL50" s="375"/>
      <c r="DM50" s="375"/>
      <c r="DN50" s="375"/>
      <c r="DO50" s="375"/>
      <c r="DP50" s="375"/>
      <c r="DQ50" s="375"/>
      <c r="DR50" s="375"/>
      <c r="DV50" s="375"/>
      <c r="DY50" s="375"/>
      <c r="DZ50" s="375"/>
      <c r="EA50" s="375"/>
      <c r="EB50" s="375"/>
      <c r="EC50" s="375"/>
      <c r="ED50" s="375"/>
      <c r="EE50" s="375"/>
      <c r="EF50" s="375"/>
      <c r="EX50" s="14"/>
      <c r="IL50" s="26">
        <v>8</v>
      </c>
      <c r="IM50" s="14" t="s">
        <v>854</v>
      </c>
      <c r="IN50" s="14" t="s">
        <v>671</v>
      </c>
      <c r="IO50" s="14" t="s">
        <v>674</v>
      </c>
      <c r="IP50" s="14" t="str">
        <f>SUBSTITUTE(IP48,",",".")</f>
        <v>0</v>
      </c>
      <c r="IQ50" s="14" t="str">
        <f>IF(IP48=IP49,". Y"," Y")</f>
        <v>. Y</v>
      </c>
      <c r="IR50" s="14" t="str">
        <f>SUBSTITUTE(IR48,",",".")</f>
        <v>3.375</v>
      </c>
      <c r="IS50" s="14" t="str">
        <f>IF(IR48=IR49,".","")</f>
        <v/>
      </c>
      <c r="IT50" s="14"/>
      <c r="IU50" s="14"/>
      <c r="IV50" s="14"/>
      <c r="IW50" s="14"/>
      <c r="IX50" s="16"/>
      <c r="IY50" s="16"/>
      <c r="IZ50" s="16"/>
    </row>
    <row r="51" spans="7:260" ht="15.95" customHeight="1">
      <c r="G51" s="5" t="str">
        <f>IF(BW147=0,"",BW147)</f>
        <v/>
      </c>
      <c r="I51" s="5" t="str">
        <f t="shared" si="27"/>
        <v>Aluminium, Unalloyed</v>
      </c>
      <c r="J51" s="5" t="s">
        <v>611</v>
      </c>
      <c r="K51" s="5" t="s">
        <v>1380</v>
      </c>
      <c r="L51" s="40" t="s">
        <v>978</v>
      </c>
      <c r="M51" s="5" t="s">
        <v>331</v>
      </c>
      <c r="N51" s="5" t="s">
        <v>1409</v>
      </c>
      <c r="O51" s="5" t="s">
        <v>1271</v>
      </c>
      <c r="P51" s="5" t="s">
        <v>369</v>
      </c>
      <c r="Q51" s="5" t="s">
        <v>224</v>
      </c>
      <c r="R51" s="5" t="s">
        <v>100</v>
      </c>
      <c r="S51" s="5" t="s">
        <v>1262</v>
      </c>
      <c r="T51" s="5" t="s">
        <v>192</v>
      </c>
      <c r="U51" s="5" t="s">
        <v>527</v>
      </c>
      <c r="V51" s="5" t="s">
        <v>573</v>
      </c>
      <c r="W51" s="5" t="s">
        <v>235</v>
      </c>
      <c r="X51" s="38" t="s">
        <v>1</v>
      </c>
      <c r="Y51" s="43" t="s">
        <v>1873</v>
      </c>
      <c r="Z51" s="39" t="s">
        <v>1874</v>
      </c>
      <c r="AA51" s="417" t="s">
        <v>1875</v>
      </c>
      <c r="AB51" s="5" t="s">
        <v>1045</v>
      </c>
      <c r="AD51" s="131">
        <v>50</v>
      </c>
      <c r="AE51" s="348">
        <v>2</v>
      </c>
      <c r="AF51" s="348">
        <v>1</v>
      </c>
      <c r="AG51" s="348">
        <v>1</v>
      </c>
      <c r="AH51" s="351" t="s">
        <v>1573</v>
      </c>
      <c r="AI51" s="352">
        <v>14</v>
      </c>
      <c r="AJ51" s="353">
        <v>10.7</v>
      </c>
      <c r="AK51" s="354">
        <v>4</v>
      </c>
      <c r="AL51" s="355">
        <v>1</v>
      </c>
      <c r="AM51" s="356">
        <v>17.899999999999999</v>
      </c>
      <c r="AN51" s="357">
        <v>90</v>
      </c>
      <c r="AO51" s="349">
        <v>11.8</v>
      </c>
      <c r="AP51" s="55">
        <f t="shared" si="28"/>
        <v>50</v>
      </c>
      <c r="AQ51" s="16" t="b">
        <f t="shared" si="1"/>
        <v>0</v>
      </c>
      <c r="AR51" s="16" t="b">
        <f t="shared" si="2"/>
        <v>0</v>
      </c>
      <c r="AS51" s="16">
        <f t="shared" si="3"/>
        <v>50</v>
      </c>
      <c r="AT51" s="16">
        <f t="shared" si="4"/>
        <v>50</v>
      </c>
      <c r="AU51" s="16" t="b">
        <f t="shared" si="5"/>
        <v>0</v>
      </c>
      <c r="BA51" s="61">
        <v>6</v>
      </c>
      <c r="BB51" s="157">
        <v>70</v>
      </c>
      <c r="BC51" s="158">
        <v>0.03</v>
      </c>
      <c r="BD51" s="213">
        <v>0.06</v>
      </c>
      <c r="BE51" s="8"/>
      <c r="BF51" s="8"/>
      <c r="BG51" s="166">
        <f>ROUND((((BP50-BP51)*(BP50-BP51))+(((BJ51+ROUND(TAN(1.783*PI()/180)*BL6/4,3))/2)*((BJ51+ROUND(TAN(1.783*PI()/180)*BL6/4,3))/2)))/BJ51,3)</f>
        <v>3.4079999999999999</v>
      </c>
      <c r="BH51" s="435" t="s">
        <v>691</v>
      </c>
      <c r="BI51" s="121">
        <v>1</v>
      </c>
      <c r="BJ51" s="111">
        <f>ROUND(BP49-(2*0.33*BJ49),2)</f>
        <v>7.68</v>
      </c>
      <c r="BK51" s="112">
        <f>ROUND((((BP50-BP51)*(BP50-BP51))+((BJ51/2)*(BJ51/2)))/BJ51,3)</f>
        <v>3.403</v>
      </c>
      <c r="BL51" s="112">
        <f>ROUND(180-(DEGREES(ASIN((BP50-BP51)/BK51))),2)</f>
        <v>97.36</v>
      </c>
      <c r="BM51" s="112">
        <f>ROUND(C$29*(BJ51-BE$13)/BJ51,0)</f>
        <v>70</v>
      </c>
      <c r="BN51" s="122">
        <f>((C11+C12+BL6/4)*60/5000)+((C11+C12-(5*BL6/4))*60/5000)+((188.5*BJ51)/(4*0.6*0.88*C29))+(188.5*BJ51*5/(4*0.88*C29))</f>
        <v>9.0990697541452263</v>
      </c>
      <c r="BO51" s="99" t="s">
        <v>1349</v>
      </c>
      <c r="BP51" s="100">
        <v>0</v>
      </c>
      <c r="BS51" s="14"/>
      <c r="BT51" s="14"/>
      <c r="BV51" s="8">
        <v>17</v>
      </c>
      <c r="BW51" s="54" t="str">
        <f>LOOKUP(BT$54,BX$2:EM$2,BX51:EM51)</f>
        <v/>
      </c>
      <c r="BY51" s="23" t="str">
        <f t="shared" si="11"/>
        <v/>
      </c>
      <c r="BZ51" s="23" t="str">
        <f>BY33</f>
        <v>M30</v>
      </c>
      <c r="CA51" s="23" t="str">
        <f>BY33</f>
        <v>M30</v>
      </c>
      <c r="CB51" s="23" t="str">
        <f>BZ42</f>
        <v>G00 G40 X0. Y-3.375</v>
      </c>
      <c r="CD51" s="23" t="str">
        <f>CD21</f>
        <v>#2=0</v>
      </c>
      <c r="CH51" s="23" t="str">
        <f>$CF$45</f>
        <v>G90 G49 G00 Z200. M5</v>
      </c>
      <c r="CJ51" s="23" t="str">
        <f>$CF$39</f>
        <v>G03 X-4.063 Y3.375 Z0.313 R3,433</v>
      </c>
      <c r="CL51" s="375" t="str">
        <f>$CH$42</f>
        <v>G03 X0. Y0. Z1.25 I-4.063 J0.</v>
      </c>
      <c r="CN51" s="375" t="str">
        <f>$CH$42</f>
        <v>G03 X0. Y0. Z1.25 I-4.063 J0.</v>
      </c>
      <c r="CP51" s="375" t="str">
        <f>$CF$36</f>
        <v>G03 X0. Y0. Z1.25 I-4.063 J0. F80</v>
      </c>
      <c r="CR51" s="23" t="str">
        <f>$CF$33</f>
        <v>G03 X4.063 Y3.375 Z0.313 R3,433</v>
      </c>
      <c r="CS51" s="23" t="str">
        <f>CG33</f>
        <v>M30</v>
      </c>
      <c r="CT51" s="23" t="str">
        <f>$CF$30</f>
        <v>G41 D10 X0. Y-3,375 F40</v>
      </c>
      <c r="CU51" s="23" t="str">
        <f>CG30</f>
        <v>G90 G49 G00 Z200. M5</v>
      </c>
      <c r="CV51" s="23" t="str">
        <f>$CF$27</f>
        <v>G00 Z-16.875</v>
      </c>
      <c r="CW51" s="23" t="str">
        <f>CG27</f>
        <v>G00 G40 X0. Y-3.375</v>
      </c>
      <c r="CX51" s="23" t="str">
        <f>$CF$24</f>
        <v>G00 G40 X0. Y-3.375</v>
      </c>
      <c r="CY51" s="23" t="str">
        <f>CG24</f>
        <v>G03 X-4.063 Y3.375 Z0.313 R3,433</v>
      </c>
      <c r="CZ51" s="23" t="str">
        <f>$CF$21</f>
        <v>G03 X-3.84 Y3.375 Z0.313 R3,403</v>
      </c>
      <c r="DA51" s="375" t="str">
        <f>CG21</f>
        <v>G03 X0. Y0. Z1.25 I-4.063 J0.</v>
      </c>
      <c r="DB51" s="375" t="str">
        <f>$CH$21</f>
        <v>G03 X0. Y0. Z1.25 I-3.84 J0.</v>
      </c>
      <c r="DC51" s="375" t="str">
        <f>CI21</f>
        <v>G03 X0. Y0. Z1.25 I-4.063 J0.</v>
      </c>
      <c r="DD51" s="375" t="str">
        <f>$CH$21</f>
        <v>G03 X0. Y0. Z1.25 I-3.84 J0.</v>
      </c>
      <c r="DE51" s="375"/>
      <c r="DF51" s="375"/>
      <c r="DG51" s="375"/>
      <c r="DH51" s="23" t="str">
        <f>$DF$45</f>
        <v>G90 G49 G00 Z200. M5</v>
      </c>
      <c r="DI51" s="375"/>
      <c r="DJ51" s="23" t="str">
        <f>$DF$39</f>
        <v>G02 X-4.063 Y-3.375 Z-0.313 R3,433</v>
      </c>
      <c r="DK51" s="375"/>
      <c r="DL51" s="375" t="str">
        <f t="shared" si="29"/>
        <v>G02 X0. Y0. Z-1.25 I-4.063 J0.</v>
      </c>
      <c r="DM51" s="375"/>
      <c r="DN51" s="375" t="str">
        <f t="shared" ref="DN51:DN60" si="30">$DH$42</f>
        <v>G02 X0. Y0. Z-1.25 I-4.063 J0.</v>
      </c>
      <c r="DO51" s="375"/>
      <c r="DP51" s="375" t="str">
        <f>$DF$36</f>
        <v>G02 X0. Y0. Z-1.25 I-4.063 J0. F80</v>
      </c>
      <c r="DQ51" s="375"/>
      <c r="DR51" s="23" t="str">
        <f>$DF$33</f>
        <v>G02 X4.063 Y-3.375 Z-0.313 R3,433</v>
      </c>
      <c r="DS51" s="23" t="str">
        <f>$DE$30</f>
        <v>M30</v>
      </c>
      <c r="DT51" s="23" t="str">
        <f>$DF$30</f>
        <v>G91 G42 D10 X0. Y3,375 F40</v>
      </c>
      <c r="DU51" s="23" t="str">
        <f>$DE$27</f>
        <v>G90 G49 G00 Z200. M5</v>
      </c>
      <c r="DV51" s="23" t="str">
        <f>$DF$27</f>
        <v>G90 G00 Z0.313</v>
      </c>
      <c r="DW51" s="23" t="str">
        <f>$DE$24</f>
        <v>G00 G40 X0. Y3.375</v>
      </c>
      <c r="DX51" s="23" t="str">
        <f>$DF$24</f>
        <v>G00 G40 X0. Y3.375</v>
      </c>
      <c r="DY51" s="23" t="str">
        <f>$DE$21</f>
        <v>G02 X-4.063 Y-3.375 Z-0.313 R3,433</v>
      </c>
      <c r="DZ51" s="23" t="str">
        <f>$DF$21</f>
        <v>G02 X-3.84 Y-3.375 Z-0.313 R3,403</v>
      </c>
      <c r="EA51" s="375" t="str">
        <f>$DG$21</f>
        <v>G02 X0. Y0. Z-1.25 I-4.063 J0.</v>
      </c>
      <c r="EB51" s="375" t="str">
        <f t="shared" si="24"/>
        <v>G02 X0. Y0. Z-1.25 I-3.84 J0.</v>
      </c>
      <c r="EC51" s="375" t="str">
        <f>$DG$21</f>
        <v>G02 X0. Y0. Z-1.25 I-4.063 J0.</v>
      </c>
      <c r="ED51" s="375" t="str">
        <f t="shared" si="25"/>
        <v>G02 X0. Y0. Z-1.25 I-3.84 J0.</v>
      </c>
      <c r="EE51" s="375" t="str">
        <f>$DG$21</f>
        <v>G02 X0. Y0. Z-1.25 I-4.063 J0.</v>
      </c>
      <c r="EF51" s="375" t="str">
        <f t="shared" si="26"/>
        <v>G02 X0. Y0. Z-1.25 I-3.84 J0.</v>
      </c>
      <c r="EH51" s="23" t="str">
        <f>EG24</f>
        <v>G03 X4.082 Y-4.092 Z0.313 I4.082 J-0.01</v>
      </c>
      <c r="EJ51" s="23" t="str">
        <f>BZ45</f>
        <v>G00 Z18.937</v>
      </c>
      <c r="EL51" s="23" t="str">
        <f>EH45</f>
        <v>G03 X-4.063 Y4.072 Z0.313 I-4.063 J0.01 F80</v>
      </c>
      <c r="EX51" s="14"/>
      <c r="IL51" s="26"/>
      <c r="IM51" s="14"/>
      <c r="IN51" s="14"/>
      <c r="IO51" s="14"/>
      <c r="IP51" s="244">
        <f>ROUND(BP54,3)</f>
        <v>0.313</v>
      </c>
      <c r="IQ51" s="14"/>
      <c r="IR51" s="14"/>
      <c r="IS51" s="14"/>
      <c r="IT51" s="14"/>
      <c r="IU51" s="14"/>
      <c r="IV51" s="14"/>
      <c r="IW51" s="14"/>
      <c r="IX51" s="16"/>
      <c r="IY51" s="16"/>
      <c r="IZ51" s="16"/>
    </row>
    <row r="52" spans="7:260" ht="15.95" customHeight="1">
      <c r="G52" s="94"/>
      <c r="I52" s="5" t="str">
        <f t="shared" si="27"/>
        <v>Aluminium, Alloyed, &lt; 0.5% Si</v>
      </c>
      <c r="J52" s="5" t="s">
        <v>757</v>
      </c>
      <c r="K52" s="5" t="s">
        <v>1381</v>
      </c>
      <c r="L52" s="40" t="s">
        <v>982</v>
      </c>
      <c r="M52" s="5" t="s">
        <v>332</v>
      </c>
      <c r="N52" s="5" t="s">
        <v>1410</v>
      </c>
      <c r="O52" s="5" t="s">
        <v>1272</v>
      </c>
      <c r="P52" s="5" t="s">
        <v>344</v>
      </c>
      <c r="Q52" s="5" t="s">
        <v>225</v>
      </c>
      <c r="R52" s="5" t="s">
        <v>101</v>
      </c>
      <c r="S52" s="5" t="s">
        <v>1263</v>
      </c>
      <c r="T52" s="5" t="s">
        <v>478</v>
      </c>
      <c r="U52" s="5" t="s">
        <v>1323</v>
      </c>
      <c r="V52" s="5" t="s">
        <v>308</v>
      </c>
      <c r="W52" s="5" t="s">
        <v>236</v>
      </c>
      <c r="X52" s="38" t="s">
        <v>2</v>
      </c>
      <c r="Y52" s="43" t="s">
        <v>1876</v>
      </c>
      <c r="Z52" s="39" t="s">
        <v>1877</v>
      </c>
      <c r="AA52" s="417" t="s">
        <v>1878</v>
      </c>
      <c r="AB52" s="5" t="s">
        <v>1046</v>
      </c>
      <c r="AD52" s="131">
        <v>51</v>
      </c>
      <c r="AE52" s="348">
        <v>2</v>
      </c>
      <c r="AF52" s="348">
        <v>1</v>
      </c>
      <c r="AG52" s="348">
        <v>1</v>
      </c>
      <c r="AH52" s="351" t="s">
        <v>1574</v>
      </c>
      <c r="AI52" s="352">
        <v>12</v>
      </c>
      <c r="AJ52" s="353">
        <v>8.3000000000000007</v>
      </c>
      <c r="AK52" s="354">
        <v>4</v>
      </c>
      <c r="AL52" s="355">
        <v>1.25</v>
      </c>
      <c r="AM52" s="356">
        <v>15.28</v>
      </c>
      <c r="AN52" s="357">
        <v>80</v>
      </c>
      <c r="AO52" s="349">
        <v>9.8000000000000007</v>
      </c>
      <c r="AP52" s="370">
        <f t="shared" si="28"/>
        <v>51</v>
      </c>
      <c r="AQ52" s="16" t="b">
        <f t="shared" si="1"/>
        <v>0</v>
      </c>
      <c r="AR52" s="16">
        <f t="shared" si="2"/>
        <v>51</v>
      </c>
      <c r="AS52" s="16" t="b">
        <f t="shared" si="3"/>
        <v>0</v>
      </c>
      <c r="AT52" s="16">
        <f t="shared" si="4"/>
        <v>51</v>
      </c>
      <c r="AU52" s="16" t="b">
        <f t="shared" si="5"/>
        <v>0</v>
      </c>
      <c r="BA52" s="61">
        <v>7</v>
      </c>
      <c r="BB52" s="157">
        <v>40</v>
      </c>
      <c r="BC52" s="158">
        <v>0.02</v>
      </c>
      <c r="BD52" s="213">
        <v>0.04</v>
      </c>
      <c r="BE52" s="16"/>
      <c r="BF52" s="16"/>
      <c r="BG52" s="166">
        <f>ROUND((((BP50-BP51)*(BP50-BP51))+(((BJ52+ROUND(TAN(1.783*PI()/180)*BL6/4,3))/2)*((BJ52+ROUND(TAN(1.783*PI()/180)*BL6/4,3))/2)))/BJ52,3)</f>
        <v>3.4380000000000002</v>
      </c>
      <c r="BH52" s="436"/>
      <c r="BI52" s="121">
        <v>2</v>
      </c>
      <c r="BJ52" s="111">
        <f>BP49</f>
        <v>8.125</v>
      </c>
      <c r="BK52" s="112">
        <f>ROUND((((BP50-BP51)*(BP50-BP51))+((BJ52/2)*(BJ52/2)))/BJ52,3)</f>
        <v>3.4329999999999998</v>
      </c>
      <c r="BL52" s="112">
        <f>ROUND(180-(DEGREES(ASIN((BP50-BP51)/BK52))),2)</f>
        <v>100.55</v>
      </c>
      <c r="BM52" s="112">
        <f>ROUND(C$29*(BJ52-BE$13)/BJ52,0)</f>
        <v>83</v>
      </c>
      <c r="BN52" s="122">
        <f>((C11+C12+BL6/4)*60/5000)+((C11+C12-(5*BL6/4))*60/5000)+((188.5*BJ52)/(4*0.6*C29))+(188.5*BJ52*5/(4*C29))</f>
        <v>8.5040571278826</v>
      </c>
      <c r="BO52" s="99" t="s">
        <v>986</v>
      </c>
      <c r="BP52" s="107">
        <f>ROUND((((BP50-BP51)*(BP50-BP51))+((BP49/2)*(BP49/2)))/BP49,3)</f>
        <v>3.4329999999999998</v>
      </c>
      <c r="BS52" s="14"/>
      <c r="BT52" s="14"/>
      <c r="BV52" s="8"/>
      <c r="BY52" s="23" t="str">
        <f t="shared" si="11"/>
        <v/>
      </c>
      <c r="DA52" s="375"/>
      <c r="DB52" s="375"/>
      <c r="DD52" s="375"/>
      <c r="DE52" s="375"/>
      <c r="DF52" s="375"/>
      <c r="DG52" s="375"/>
      <c r="DI52" s="375"/>
      <c r="DK52" s="375"/>
      <c r="DL52" s="375"/>
      <c r="DM52" s="375"/>
      <c r="DN52" s="375"/>
      <c r="DO52" s="375"/>
      <c r="DP52" s="375"/>
      <c r="DQ52" s="375"/>
      <c r="DR52" s="375"/>
      <c r="DS52" s="375"/>
      <c r="DT52" s="375"/>
      <c r="DX52" s="375"/>
      <c r="EA52" s="375"/>
      <c r="EB52" s="375"/>
      <c r="EC52" s="375"/>
      <c r="ED52" s="375"/>
      <c r="EE52" s="375"/>
      <c r="EF52" s="375"/>
      <c r="EX52" s="14"/>
      <c r="IL52" s="24"/>
      <c r="IM52" s="14"/>
      <c r="IN52" s="14"/>
      <c r="IO52" s="14"/>
      <c r="IP52" s="102">
        <f>INT(IP51)</f>
        <v>0</v>
      </c>
      <c r="IQ52" s="14"/>
      <c r="IR52"/>
      <c r="IS52"/>
      <c r="IT52"/>
      <c r="IU52"/>
      <c r="IV52"/>
      <c r="IW52"/>
      <c r="IX52" s="16"/>
      <c r="IY52" s="16"/>
      <c r="IZ52" s="16"/>
    </row>
    <row r="53" spans="7:260" ht="15.95" customHeight="1">
      <c r="I53" s="5" t="str">
        <f t="shared" si="27"/>
        <v>Aluminium, Alloyed, &lt; 10% Si</v>
      </c>
      <c r="J53" s="5" t="s">
        <v>758</v>
      </c>
      <c r="K53" s="5" t="s">
        <v>625</v>
      </c>
      <c r="L53" s="40" t="s">
        <v>987</v>
      </c>
      <c r="M53" s="5" t="s">
        <v>333</v>
      </c>
      <c r="N53" s="5" t="s">
        <v>1411</v>
      </c>
      <c r="O53" s="5" t="s">
        <v>1273</v>
      </c>
      <c r="P53" s="5" t="s">
        <v>345</v>
      </c>
      <c r="Q53" s="5" t="s">
        <v>226</v>
      </c>
      <c r="R53" s="5" t="s">
        <v>102</v>
      </c>
      <c r="S53" s="5" t="s">
        <v>1264</v>
      </c>
      <c r="T53" s="5" t="s">
        <v>479</v>
      </c>
      <c r="U53" s="5" t="s">
        <v>520</v>
      </c>
      <c r="V53" s="5" t="s">
        <v>309</v>
      </c>
      <c r="W53" s="5" t="s">
        <v>1429</v>
      </c>
      <c r="X53" s="38" t="s">
        <v>3</v>
      </c>
      <c r="Y53" s="43" t="s">
        <v>1879</v>
      </c>
      <c r="Z53" s="39" t="s">
        <v>1880</v>
      </c>
      <c r="AA53" s="417" t="s">
        <v>1881</v>
      </c>
      <c r="AB53" s="5" t="s">
        <v>1049</v>
      </c>
      <c r="AD53" s="131">
        <v>52</v>
      </c>
      <c r="AE53" s="348">
        <v>2</v>
      </c>
      <c r="AF53" s="348">
        <v>1</v>
      </c>
      <c r="AG53" s="348">
        <v>1</v>
      </c>
      <c r="AH53" s="351" t="s">
        <v>1575</v>
      </c>
      <c r="AI53" s="352">
        <v>12</v>
      </c>
      <c r="AJ53" s="353">
        <v>8.6999999999999993</v>
      </c>
      <c r="AK53" s="354">
        <v>4</v>
      </c>
      <c r="AL53" s="355">
        <v>1</v>
      </c>
      <c r="AM53" s="356">
        <v>14.9</v>
      </c>
      <c r="AN53" s="357">
        <v>80</v>
      </c>
      <c r="AO53" s="349">
        <v>9.8000000000000007</v>
      </c>
      <c r="AP53" s="370">
        <f t="shared" si="28"/>
        <v>52</v>
      </c>
      <c r="AQ53" s="16" t="b">
        <f t="shared" si="1"/>
        <v>0</v>
      </c>
      <c r="AR53" s="16" t="b">
        <f t="shared" si="2"/>
        <v>0</v>
      </c>
      <c r="AS53" s="16" t="b">
        <f t="shared" si="3"/>
        <v>0</v>
      </c>
      <c r="AT53" s="16">
        <f t="shared" si="4"/>
        <v>52</v>
      </c>
      <c r="AU53" s="16" t="b">
        <f t="shared" si="5"/>
        <v>0</v>
      </c>
      <c r="BA53" s="61">
        <v>8</v>
      </c>
      <c r="BB53" s="157">
        <v>28</v>
      </c>
      <c r="BC53" s="158">
        <v>1.4999999999999999E-2</v>
      </c>
      <c r="BD53" s="213">
        <v>0.03</v>
      </c>
      <c r="BE53" s="8"/>
      <c r="BF53" s="8"/>
      <c r="BG53" s="9"/>
      <c r="BH53" s="108"/>
      <c r="BI53" s="6"/>
      <c r="BJ53" s="9"/>
      <c r="BK53" s="16"/>
      <c r="BL53" s="16"/>
      <c r="BM53" s="16"/>
      <c r="BN53" s="16">
        <f>ROUND(BN51+BN52,0)</f>
        <v>18</v>
      </c>
      <c r="BO53" s="99" t="s">
        <v>991</v>
      </c>
      <c r="BP53" s="100">
        <f>ROUND(180-(DEGREES(ASIN((BP50-BP51)/BP52))),2)</f>
        <v>100.55</v>
      </c>
      <c r="BS53" s="14"/>
      <c r="BT53" s="14"/>
      <c r="BV53" s="8"/>
      <c r="BY53" s="23" t="str">
        <f t="shared" si="11"/>
        <v/>
      </c>
      <c r="DA53" s="375"/>
      <c r="DB53" s="375"/>
      <c r="DD53" s="375"/>
      <c r="DE53" s="375"/>
      <c r="DF53" s="375"/>
      <c r="DG53" s="375"/>
      <c r="DI53" s="375"/>
      <c r="DK53" s="375"/>
      <c r="DL53" s="375"/>
      <c r="DM53" s="375"/>
      <c r="DN53" s="375"/>
      <c r="DO53" s="375"/>
      <c r="DP53" s="375"/>
      <c r="DQ53" s="375"/>
      <c r="DR53" s="375"/>
      <c r="DS53" s="375"/>
      <c r="DT53" s="375"/>
      <c r="DX53" s="375"/>
      <c r="EA53" s="375"/>
      <c r="EB53" s="375"/>
      <c r="EC53" s="375"/>
      <c r="ED53" s="375"/>
      <c r="EE53" s="375"/>
      <c r="EF53" s="375"/>
      <c r="EX53" s="14"/>
      <c r="IL53" s="26">
        <v>9</v>
      </c>
      <c r="IM53" s="14" t="s">
        <v>446</v>
      </c>
      <c r="IN53" s="14" t="s">
        <v>175</v>
      </c>
      <c r="IO53" s="14" t="s">
        <v>181</v>
      </c>
      <c r="IP53" s="14" t="str">
        <f>SUBSTITUTE(IP51,",",".")</f>
        <v>0.313</v>
      </c>
      <c r="IQ53" s="14" t="str">
        <f>IF(IP51=IP52,".","")</f>
        <v/>
      </c>
      <c r="IR53" s="14"/>
      <c r="IS53" s="14"/>
      <c r="IT53" s="14"/>
      <c r="IU53" s="14"/>
      <c r="IV53" s="14"/>
      <c r="IW53" s="14"/>
      <c r="IX53" s="16"/>
      <c r="IY53" s="16"/>
      <c r="IZ53" s="16"/>
    </row>
    <row r="54" spans="7:260" ht="15.95" customHeight="1">
      <c r="I54" s="5" t="str">
        <f t="shared" si="27"/>
        <v>Aluminium, Alloyed, &gt; 10% Si</v>
      </c>
      <c r="J54" s="5" t="s">
        <v>1318</v>
      </c>
      <c r="K54" s="5" t="s">
        <v>1310</v>
      </c>
      <c r="L54" s="40" t="s">
        <v>992</v>
      </c>
      <c r="M54" s="5" t="s">
        <v>333</v>
      </c>
      <c r="N54" s="5" t="s">
        <v>1385</v>
      </c>
      <c r="O54" s="5" t="s">
        <v>1273</v>
      </c>
      <c r="P54" s="5" t="s">
        <v>346</v>
      </c>
      <c r="Q54" s="5" t="s">
        <v>212</v>
      </c>
      <c r="R54" s="5" t="s">
        <v>103</v>
      </c>
      <c r="S54" s="5" t="s">
        <v>1265</v>
      </c>
      <c r="T54" s="5" t="s">
        <v>480</v>
      </c>
      <c r="U54" s="5" t="s">
        <v>521</v>
      </c>
      <c r="V54" s="5" t="s">
        <v>310</v>
      </c>
      <c r="W54" s="5" t="s">
        <v>1430</v>
      </c>
      <c r="X54" s="38" t="s">
        <v>4</v>
      </c>
      <c r="Y54" s="43" t="s">
        <v>1882</v>
      </c>
      <c r="Z54" s="39" t="s">
        <v>1883</v>
      </c>
      <c r="AA54" s="417" t="s">
        <v>1884</v>
      </c>
      <c r="AB54" s="5" t="s">
        <v>1050</v>
      </c>
      <c r="AD54" s="131">
        <v>53</v>
      </c>
      <c r="AE54" s="348">
        <v>2</v>
      </c>
      <c r="AF54" s="348">
        <v>1</v>
      </c>
      <c r="AG54" s="348">
        <v>1</v>
      </c>
      <c r="AH54" s="351" t="s">
        <v>1576</v>
      </c>
      <c r="AI54" s="352">
        <v>10</v>
      </c>
      <c r="AJ54" s="353">
        <v>6.7</v>
      </c>
      <c r="AK54" s="354">
        <v>3</v>
      </c>
      <c r="AL54" s="355">
        <v>1</v>
      </c>
      <c r="AM54" s="356">
        <v>11.9</v>
      </c>
      <c r="AN54" s="357">
        <v>74</v>
      </c>
      <c r="AO54" s="349">
        <v>7.8</v>
      </c>
      <c r="AP54" s="370">
        <f t="shared" si="28"/>
        <v>53</v>
      </c>
      <c r="AQ54" s="16">
        <f t="shared" si="1"/>
        <v>53</v>
      </c>
      <c r="AR54" s="16" t="b">
        <f t="shared" si="2"/>
        <v>0</v>
      </c>
      <c r="AS54" s="16" t="b">
        <f t="shared" si="3"/>
        <v>0</v>
      </c>
      <c r="AT54" s="16">
        <f t="shared" si="4"/>
        <v>53</v>
      </c>
      <c r="AU54" s="16" t="b">
        <f t="shared" si="5"/>
        <v>0</v>
      </c>
      <c r="BA54" s="61">
        <v>9</v>
      </c>
      <c r="BB54" s="157">
        <v>100</v>
      </c>
      <c r="BC54" s="223">
        <v>0.14000000000000001</v>
      </c>
      <c r="BD54" s="224">
        <v>0.2</v>
      </c>
      <c r="BE54" s="9"/>
      <c r="BF54" s="9"/>
      <c r="BG54" s="9"/>
      <c r="BH54" s="432" t="s">
        <v>692</v>
      </c>
      <c r="BI54" s="123">
        <v>1</v>
      </c>
      <c r="BJ54" s="124">
        <f>ROUND(BP49-(2*0.5*BJ49),2)</f>
        <v>7.45</v>
      </c>
      <c r="BK54" s="125">
        <f>ROUND((((BP50-BP51)*(BP50-BP51))+((BJ54/2)*(BJ54/2)))/BJ54,3)</f>
        <v>3.391</v>
      </c>
      <c r="BL54" s="125">
        <f>ROUND(180-(DEGREES(ASIN((BP50-BP51)/BK54))),2)</f>
        <v>95.57</v>
      </c>
      <c r="BM54" s="125">
        <f>ROUND(C$29*(BJ54-BE$13)/BJ54,0)</f>
        <v>62</v>
      </c>
      <c r="BN54" s="126">
        <f>278*BJ54/C$29</f>
        <v>6.512893081761006</v>
      </c>
      <c r="BO54" s="99" t="s">
        <v>996</v>
      </c>
      <c r="BP54" s="100">
        <f>ROUND(BL6/4,3)</f>
        <v>0.313</v>
      </c>
      <c r="BS54" s="81" t="s">
        <v>535</v>
      </c>
      <c r="BT54" s="82">
        <f>BT13-SUM(BT15:BT38)</f>
        <v>11</v>
      </c>
      <c r="BV54" s="8">
        <v>18</v>
      </c>
      <c r="BW54" s="54" t="str">
        <f>LOOKUP(BT$54,BX$2:EM$2,BX54:EM54)</f>
        <v/>
      </c>
      <c r="BY54" s="23" t="str">
        <f t="shared" si="11"/>
        <v/>
      </c>
      <c r="CB54" s="23" t="str">
        <f>CA36</f>
        <v>G00 Z15.625</v>
      </c>
      <c r="CD54" s="23" t="str">
        <f>CONCATENATE(GC54)</f>
        <v>WHILE[#2LT#1]DO2</v>
      </c>
      <c r="CH54" s="23" t="str">
        <f>$CF$48</f>
        <v>M30</v>
      </c>
      <c r="CJ54" s="23" t="str">
        <f>$CF$42</f>
        <v>G00 G40 X0. Y-3.375</v>
      </c>
      <c r="CL54" s="375" t="str">
        <f>$CH$42</f>
        <v>G03 X0. Y0. Z1.25 I-4.063 J0.</v>
      </c>
      <c r="CN54" s="375" t="str">
        <f>$CH$42</f>
        <v>G03 X0. Y0. Z1.25 I-4.063 J0.</v>
      </c>
      <c r="CP54" s="375" t="str">
        <f>$CH$42</f>
        <v>G03 X0. Y0. Z1.25 I-4.063 J0.</v>
      </c>
      <c r="CR54" s="375" t="str">
        <f>$CF$36</f>
        <v>G03 X0. Y0. Z1.25 I-4.063 J0. F80</v>
      </c>
      <c r="CT54" s="23" t="str">
        <f>$CF$33</f>
        <v>G03 X4.063 Y3.375 Z0.313 R3,433</v>
      </c>
      <c r="CU54" s="23" t="str">
        <f>CG33</f>
        <v>M30</v>
      </c>
      <c r="CV54" s="23" t="str">
        <f>$CF$30</f>
        <v>G41 D10 X0. Y-3,375 F40</v>
      </c>
      <c r="CW54" s="23" t="str">
        <f>CG30</f>
        <v>G90 G49 G00 Z200. M5</v>
      </c>
      <c r="CX54" s="23" t="str">
        <f>$CF$27</f>
        <v>G00 Z-16.875</v>
      </c>
      <c r="CY54" s="23" t="str">
        <f>CG27</f>
        <v>G00 G40 X0. Y-3.375</v>
      </c>
      <c r="CZ54" s="23" t="str">
        <f>$CF$24</f>
        <v>G00 G40 X0. Y-3.375</v>
      </c>
      <c r="DA54" s="23" t="str">
        <f>CG24</f>
        <v>G03 X-4.063 Y3.375 Z0.313 R3,433</v>
      </c>
      <c r="DB54" s="23" t="str">
        <f>$CF$21</f>
        <v>G03 X-3.84 Y3.375 Z0.313 R3,403</v>
      </c>
      <c r="DC54" s="375" t="str">
        <f>CG21</f>
        <v>G03 X0. Y0. Z1.25 I-4.063 J0.</v>
      </c>
      <c r="DD54" s="375" t="str">
        <f>$CH$21</f>
        <v>G03 X0. Y0. Z1.25 I-3.84 J0.</v>
      </c>
      <c r="DE54" s="375"/>
      <c r="DF54" s="375"/>
      <c r="DG54" s="375"/>
      <c r="DH54" s="23" t="str">
        <f>$DF$48</f>
        <v>M30</v>
      </c>
      <c r="DI54" s="375"/>
      <c r="DJ54" s="23" t="str">
        <f>$DF$42</f>
        <v>G00 G40 X0. Y3.375</v>
      </c>
      <c r="DK54" s="375"/>
      <c r="DL54" s="375" t="str">
        <f t="shared" si="29"/>
        <v>G02 X0. Y0. Z-1.25 I-4.063 J0.</v>
      </c>
      <c r="DM54" s="375"/>
      <c r="DN54" s="375" t="str">
        <f t="shared" si="30"/>
        <v>G02 X0. Y0. Z-1.25 I-4.063 J0.</v>
      </c>
      <c r="DO54" s="375"/>
      <c r="DP54" s="375" t="str">
        <f t="shared" ref="DP54:DP66" si="31">$DH$42</f>
        <v>G02 X0. Y0. Z-1.25 I-4.063 J0.</v>
      </c>
      <c r="DQ54" s="375"/>
      <c r="DR54" s="375" t="str">
        <f>$DF$36</f>
        <v>G02 X0. Y0. Z-1.25 I-4.063 J0. F80</v>
      </c>
      <c r="DS54" s="375"/>
      <c r="DT54" s="23" t="str">
        <f>$DF$33</f>
        <v>G02 X4.063 Y-3.375 Z-0.313 R3,433</v>
      </c>
      <c r="DU54" s="23" t="str">
        <f>$DE$30</f>
        <v>M30</v>
      </c>
      <c r="DV54" s="23" t="str">
        <f>$DF$30</f>
        <v>G91 G42 D10 X0. Y3,375 F40</v>
      </c>
      <c r="DW54" s="23" t="str">
        <f>$DE$27</f>
        <v>G90 G49 G00 Z200. M5</v>
      </c>
      <c r="DX54" s="23" t="str">
        <f>$DF$27</f>
        <v>G90 G00 Z0.313</v>
      </c>
      <c r="DY54" s="23" t="str">
        <f>$DE$24</f>
        <v>G00 G40 X0. Y3.375</v>
      </c>
      <c r="DZ54" s="23" t="str">
        <f>$DF$24</f>
        <v>G00 G40 X0. Y3.375</v>
      </c>
      <c r="EA54" s="23" t="str">
        <f>$DE$21</f>
        <v>G02 X-4.063 Y-3.375 Z-0.313 R3,433</v>
      </c>
      <c r="EB54" s="23" t="str">
        <f>$DF$21</f>
        <v>G02 X-3.84 Y-3.375 Z-0.313 R3,403</v>
      </c>
      <c r="EC54" s="375" t="str">
        <f>$DG$21</f>
        <v>G02 X0. Y0. Z-1.25 I-4.063 J0.</v>
      </c>
      <c r="ED54" s="375" t="str">
        <f t="shared" si="25"/>
        <v>G02 X0. Y0. Z-1.25 I-3.84 J0.</v>
      </c>
      <c r="EE54" s="375" t="str">
        <f>$DG$21</f>
        <v>G02 X0. Y0. Z-1.25 I-4.063 J0.</v>
      </c>
      <c r="EF54" s="375" t="str">
        <f t="shared" si="26"/>
        <v>G02 X0. Y0. Z-1.25 I-3.84 J0.</v>
      </c>
      <c r="EH54" s="23" t="str">
        <f>EG27</f>
        <v>G03 X4.102 Y4.092 Z0.313 I0.01 J4.092</v>
      </c>
      <c r="EJ54" s="23" t="str">
        <f>BZ48</f>
        <v>G90 G49 G00 Z200. M5</v>
      </c>
      <c r="EL54" s="23" t="str">
        <f>EH48</f>
        <v>G03 X-4.082 Y-4.072 Z0.313 I-0.01 J-4.072</v>
      </c>
      <c r="EX54" s="14"/>
      <c r="GB54" s="26">
        <v>18</v>
      </c>
      <c r="GC54" s="5" t="s">
        <v>1417</v>
      </c>
    </row>
    <row r="55" spans="7:260" ht="15.95" customHeight="1">
      <c r="I55" s="5" t="str">
        <f t="shared" si="27"/>
        <v>Inconel 718</v>
      </c>
      <c r="J55" s="5" t="s">
        <v>1319</v>
      </c>
      <c r="K55" s="5" t="s">
        <v>1319</v>
      </c>
      <c r="L55" s="40" t="s">
        <v>997</v>
      </c>
      <c r="M55" s="5" t="s">
        <v>1319</v>
      </c>
      <c r="N55" s="5" t="s">
        <v>1319</v>
      </c>
      <c r="O55" s="5" t="s">
        <v>1319</v>
      </c>
      <c r="P55" s="5" t="s">
        <v>347</v>
      </c>
      <c r="Q55" s="5" t="s">
        <v>1319</v>
      </c>
      <c r="R55" s="5" t="s">
        <v>1319</v>
      </c>
      <c r="S55" s="5" t="s">
        <v>1319</v>
      </c>
      <c r="T55" s="5" t="s">
        <v>1319</v>
      </c>
      <c r="U55" s="5" t="s">
        <v>522</v>
      </c>
      <c r="V55" s="5" t="s">
        <v>577</v>
      </c>
      <c r="W55" s="5" t="s">
        <v>1319</v>
      </c>
      <c r="X55" s="38" t="s">
        <v>5</v>
      </c>
      <c r="Y55" s="43" t="s">
        <v>1885</v>
      </c>
      <c r="Z55" s="39" t="s">
        <v>1886</v>
      </c>
      <c r="AA55" s="47" t="s">
        <v>1887</v>
      </c>
      <c r="AB55" s="5" t="s">
        <v>1051</v>
      </c>
      <c r="AD55" s="131">
        <v>54</v>
      </c>
      <c r="AE55" s="348">
        <v>2</v>
      </c>
      <c r="AF55" s="348">
        <v>1</v>
      </c>
      <c r="AG55" s="348">
        <v>1</v>
      </c>
      <c r="AH55" s="351" t="s">
        <v>1577</v>
      </c>
      <c r="AI55" s="352">
        <v>18</v>
      </c>
      <c r="AJ55" s="353">
        <v>13.6</v>
      </c>
      <c r="AK55" s="354">
        <v>4</v>
      </c>
      <c r="AL55" s="355">
        <v>2</v>
      </c>
      <c r="AM55" s="356">
        <v>31.85</v>
      </c>
      <c r="AN55" s="357">
        <v>102</v>
      </c>
      <c r="AO55" s="349">
        <v>15.6</v>
      </c>
      <c r="AP55" s="370">
        <f t="shared" si="28"/>
        <v>54</v>
      </c>
      <c r="AQ55" s="16" t="b">
        <f t="shared" si="1"/>
        <v>0</v>
      </c>
      <c r="AR55" s="16" t="b">
        <f t="shared" si="2"/>
        <v>0</v>
      </c>
      <c r="AS55" s="16">
        <f t="shared" si="3"/>
        <v>54</v>
      </c>
      <c r="AT55" s="16">
        <f t="shared" si="4"/>
        <v>54</v>
      </c>
      <c r="AU55" s="16" t="b">
        <f t="shared" si="5"/>
        <v>0</v>
      </c>
      <c r="BA55" s="61">
        <v>10</v>
      </c>
      <c r="BB55" s="157">
        <v>80</v>
      </c>
      <c r="BC55" s="223">
        <v>0.13</v>
      </c>
      <c r="BD55" s="224">
        <v>0.18</v>
      </c>
      <c r="BE55" s="9"/>
      <c r="BF55" s="6"/>
      <c r="BG55" s="9"/>
      <c r="BH55" s="433"/>
      <c r="BI55" s="123">
        <v>2</v>
      </c>
      <c r="BJ55" s="124">
        <f>ROUND(BP49-(2*0.2*BJ49),2)</f>
        <v>7.86</v>
      </c>
      <c r="BK55" s="125">
        <f>ROUND((((BP50-BP51)*(BP50-BP51))+((BJ55/2)*(BJ55/2)))/BJ55,3)</f>
        <v>3.4140000000000001</v>
      </c>
      <c r="BL55" s="125">
        <f>ROUND(180-(DEGREES(ASIN((BP50-BP51)/BK55))),2)</f>
        <v>98.67</v>
      </c>
      <c r="BM55" s="125">
        <f>ROUND(C$29*(BJ55-BE$13)/BJ55,0)</f>
        <v>75</v>
      </c>
      <c r="BN55" s="126">
        <f>278*BJ55/C$29</f>
        <v>6.8713207547169812</v>
      </c>
      <c r="BO55" s="99" t="s">
        <v>1001</v>
      </c>
      <c r="BP55" s="106">
        <f>(-BP50+BP51)</f>
        <v>-3.375</v>
      </c>
      <c r="BV55" s="8"/>
      <c r="BY55" s="23" t="str">
        <f t="shared" si="11"/>
        <v/>
      </c>
      <c r="DC55" s="375"/>
      <c r="DD55" s="375"/>
      <c r="DE55" s="375"/>
      <c r="DF55" s="375"/>
      <c r="DG55" s="375"/>
      <c r="DH55" s="375"/>
      <c r="DI55" s="375"/>
      <c r="DJ55" s="375"/>
      <c r="DK55" s="375"/>
      <c r="DL55" s="375"/>
      <c r="DM55" s="375"/>
      <c r="DN55" s="375"/>
      <c r="DO55" s="375"/>
      <c r="DP55" s="375"/>
      <c r="DQ55" s="375"/>
      <c r="DR55" s="375"/>
      <c r="DS55" s="375"/>
      <c r="DT55" s="375"/>
      <c r="DU55" s="375"/>
      <c r="DV55" s="375"/>
      <c r="DZ55" s="375"/>
      <c r="EC55" s="375"/>
      <c r="ED55" s="375"/>
      <c r="EE55" s="375"/>
      <c r="EF55" s="375"/>
      <c r="EX55" s="14"/>
    </row>
    <row r="56" spans="7:260" ht="15.95" customHeight="1">
      <c r="I56" s="5" t="str">
        <f t="shared" si="27"/>
        <v>Graphite</v>
      </c>
      <c r="J56" s="5" t="s">
        <v>770</v>
      </c>
      <c r="K56" s="5" t="s">
        <v>1311</v>
      </c>
      <c r="L56" s="40" t="s">
        <v>1002</v>
      </c>
      <c r="M56" s="5" t="s">
        <v>1431</v>
      </c>
      <c r="N56" s="5" t="s">
        <v>234</v>
      </c>
      <c r="O56" s="5" t="s">
        <v>770</v>
      </c>
      <c r="P56" s="5" t="s">
        <v>348</v>
      </c>
      <c r="Q56" s="5" t="s">
        <v>213</v>
      </c>
      <c r="R56" s="5" t="s">
        <v>104</v>
      </c>
      <c r="S56" s="5" t="s">
        <v>1431</v>
      </c>
      <c r="T56" s="5" t="s">
        <v>348</v>
      </c>
      <c r="U56" s="5" t="s">
        <v>1431</v>
      </c>
      <c r="V56" s="5" t="s">
        <v>578</v>
      </c>
      <c r="W56" s="5" t="s">
        <v>1431</v>
      </c>
      <c r="X56" s="38" t="s">
        <v>6</v>
      </c>
      <c r="Y56" s="43" t="s">
        <v>1888</v>
      </c>
      <c r="Z56" s="39" t="s">
        <v>1889</v>
      </c>
      <c r="AA56" s="417" t="s">
        <v>1889</v>
      </c>
      <c r="AB56" s="5" t="s">
        <v>1052</v>
      </c>
      <c r="AD56" s="131">
        <v>55</v>
      </c>
      <c r="AE56" s="348">
        <v>2</v>
      </c>
      <c r="AF56" s="348">
        <v>1</v>
      </c>
      <c r="AG56" s="348">
        <v>1</v>
      </c>
      <c r="AH56" s="351" t="s">
        <v>1578</v>
      </c>
      <c r="AI56" s="352">
        <v>16</v>
      </c>
      <c r="AJ56" s="353">
        <v>11.6</v>
      </c>
      <c r="AK56" s="354">
        <v>4</v>
      </c>
      <c r="AL56" s="355">
        <v>2</v>
      </c>
      <c r="AM56" s="356">
        <v>27.85</v>
      </c>
      <c r="AN56" s="357">
        <v>100</v>
      </c>
      <c r="AO56" s="349">
        <v>13.6</v>
      </c>
      <c r="AP56" s="370">
        <f t="shared" si="28"/>
        <v>55</v>
      </c>
      <c r="AQ56" s="16" t="b">
        <f t="shared" si="1"/>
        <v>0</v>
      </c>
      <c r="AR56" s="16" t="b">
        <f t="shared" si="2"/>
        <v>0</v>
      </c>
      <c r="AS56" s="16">
        <f t="shared" si="3"/>
        <v>55</v>
      </c>
      <c r="AT56" s="16">
        <f t="shared" si="4"/>
        <v>55</v>
      </c>
      <c r="AU56" s="16" t="b">
        <f t="shared" si="5"/>
        <v>0</v>
      </c>
      <c r="BA56" s="61">
        <v>11</v>
      </c>
      <c r="BB56" s="157">
        <v>100</v>
      </c>
      <c r="BC56" s="223">
        <v>0.14000000000000001</v>
      </c>
      <c r="BD56" s="224">
        <v>0.2</v>
      </c>
      <c r="BE56" s="9"/>
      <c r="BF56" s="9"/>
      <c r="BG56" s="9"/>
      <c r="BH56" s="434"/>
      <c r="BI56" s="123">
        <v>3</v>
      </c>
      <c r="BJ56" s="124">
        <f>BP49</f>
        <v>8.125</v>
      </c>
      <c r="BK56" s="125">
        <f>ROUND((((BP50-BP51)*(BP50-BP51))+((BJ56/2)*(BJ56/2)))/BJ56,3)</f>
        <v>3.4329999999999998</v>
      </c>
      <c r="BL56" s="125">
        <f>ROUND(180-(DEGREES(ASIN((BP50-BP51)/BK56))),2)</f>
        <v>100.55</v>
      </c>
      <c r="BM56" s="125">
        <f>ROUND(C$29*(BJ56-BE$13)/BJ56,0)</f>
        <v>83</v>
      </c>
      <c r="BN56" s="126">
        <f>278*BJ56/C$29</f>
        <v>7.1029874213836477</v>
      </c>
      <c r="BO56" s="99" t="s">
        <v>1005</v>
      </c>
      <c r="BP56" s="127">
        <f>C11+C12+BP54</f>
        <v>20.812999999999999</v>
      </c>
      <c r="BV56" s="8"/>
      <c r="BY56" s="23" t="str">
        <f t="shared" si="11"/>
        <v/>
      </c>
      <c r="DC56" s="375"/>
      <c r="DD56" s="375"/>
      <c r="DE56" s="375"/>
      <c r="DF56" s="375"/>
      <c r="DG56" s="375"/>
      <c r="DH56" s="375"/>
      <c r="DI56" s="375"/>
      <c r="DJ56" s="375"/>
      <c r="DK56" s="375"/>
      <c r="DL56" s="375"/>
      <c r="DM56" s="375"/>
      <c r="DN56" s="375"/>
      <c r="DO56" s="375"/>
      <c r="DP56" s="375"/>
      <c r="DQ56" s="375"/>
      <c r="DR56" s="375"/>
      <c r="DS56" s="375"/>
      <c r="DT56" s="375"/>
      <c r="DU56" s="375"/>
      <c r="DV56" s="375"/>
      <c r="DZ56" s="375"/>
      <c r="EC56" s="375"/>
      <c r="ED56" s="375"/>
      <c r="EE56" s="375"/>
      <c r="EF56" s="375"/>
      <c r="EX56" s="14"/>
    </row>
    <row r="57" spans="7:260" ht="15.95" customHeight="1">
      <c r="X57" s="38"/>
      <c r="AA57" s="46"/>
      <c r="AD57" s="131">
        <v>56</v>
      </c>
      <c r="AE57" s="348">
        <v>2</v>
      </c>
      <c r="AF57" s="348">
        <v>1</v>
      </c>
      <c r="AG57" s="348">
        <v>1</v>
      </c>
      <c r="AH57" s="351" t="s">
        <v>1579</v>
      </c>
      <c r="AI57" s="352">
        <v>14</v>
      </c>
      <c r="AJ57" s="353">
        <v>9.9</v>
      </c>
      <c r="AK57" s="354">
        <v>4</v>
      </c>
      <c r="AL57" s="355">
        <v>1.75</v>
      </c>
      <c r="AM57" s="356">
        <v>24.38</v>
      </c>
      <c r="AN57" s="357">
        <v>90</v>
      </c>
      <c r="AO57" s="349">
        <v>11.6</v>
      </c>
      <c r="AP57" s="370">
        <f t="shared" si="28"/>
        <v>56</v>
      </c>
      <c r="AQ57" s="16" t="b">
        <f t="shared" si="1"/>
        <v>0</v>
      </c>
      <c r="AR57" s="16" t="b">
        <f t="shared" si="2"/>
        <v>0</v>
      </c>
      <c r="AS57" s="16">
        <f t="shared" si="3"/>
        <v>56</v>
      </c>
      <c r="AT57" s="16">
        <f t="shared" si="4"/>
        <v>56</v>
      </c>
      <c r="AU57" s="16" t="b">
        <f t="shared" si="5"/>
        <v>0</v>
      </c>
      <c r="BA57" s="61">
        <v>12</v>
      </c>
      <c r="BB57" s="157">
        <v>80</v>
      </c>
      <c r="BC57" s="223">
        <v>0.13</v>
      </c>
      <c r="BD57" s="224">
        <v>0.18</v>
      </c>
      <c r="BK57" s="18"/>
      <c r="BL57" s="4"/>
      <c r="BM57" s="16"/>
      <c r="BN57" s="16">
        <f>ROUND(BN54+BN55+BN56,0)</f>
        <v>20</v>
      </c>
      <c r="BO57" s="8"/>
      <c r="BP57" s="14"/>
      <c r="BV57" s="8">
        <v>19</v>
      </c>
      <c r="BW57" s="54" t="str">
        <f>LOOKUP(BT$54,BX$2:EM$2,BX57:EM57)</f>
        <v/>
      </c>
      <c r="BY57" s="23" t="str">
        <f t="shared" si="11"/>
        <v/>
      </c>
      <c r="CB57" s="23" t="str">
        <f>CA39</f>
        <v>#2=#2+1</v>
      </c>
      <c r="CD57" s="23" t="str">
        <f>BZ36</f>
        <v>G03 X0. Y0. Z1.25 I-4.063 J0. F80</v>
      </c>
      <c r="CJ57" s="23" t="str">
        <f>$CF$45</f>
        <v>G90 G49 G00 Z200. M5</v>
      </c>
      <c r="CL57" s="23" t="str">
        <f>$CF$39</f>
        <v>G03 X-4.063 Y3.375 Z0.313 R3,433</v>
      </c>
      <c r="CN57" s="375" t="str">
        <f>$CH$42</f>
        <v>G03 X0. Y0. Z1.25 I-4.063 J0.</v>
      </c>
      <c r="CP57" s="375" t="str">
        <f>$CH$42</f>
        <v>G03 X0. Y0. Z1.25 I-4.063 J0.</v>
      </c>
      <c r="CR57" s="375" t="str">
        <f>$CH$42</f>
        <v>G03 X0. Y0. Z1.25 I-4.063 J0.</v>
      </c>
      <c r="CT57" s="375" t="str">
        <f>$CF$36</f>
        <v>G03 X0. Y0. Z1.25 I-4.063 J0. F80</v>
      </c>
      <c r="CV57" s="23" t="str">
        <f>$CF$33</f>
        <v>G03 X4.063 Y3.375 Z0.313 R3,433</v>
      </c>
      <c r="CW57" s="23" t="str">
        <f>CG33</f>
        <v>M30</v>
      </c>
      <c r="CX57" s="23" t="str">
        <f>$CF$30</f>
        <v>G41 D10 X0. Y-3,375 F40</v>
      </c>
      <c r="CY57" s="23" t="str">
        <f>CG30</f>
        <v>G90 G49 G00 Z200. M5</v>
      </c>
      <c r="CZ57" s="23" t="str">
        <f>$CF$27</f>
        <v>G00 Z-16.875</v>
      </c>
      <c r="DA57" s="23" t="str">
        <f>CG27</f>
        <v>G00 G40 X0. Y-3.375</v>
      </c>
      <c r="DB57" s="23" t="str">
        <f>$CF$24</f>
        <v>G00 G40 X0. Y-3.375</v>
      </c>
      <c r="DC57" s="23" t="str">
        <f>CG24</f>
        <v>G03 X-4.063 Y3.375 Z0.313 R3,433</v>
      </c>
      <c r="DD57" s="23" t="str">
        <f>$CF$21</f>
        <v>G03 X-3.84 Y3.375 Z0.313 R3,403</v>
      </c>
      <c r="DJ57" s="23" t="str">
        <f>$DF$45</f>
        <v>G90 G49 G00 Z200. M5</v>
      </c>
      <c r="DL57" s="23" t="str">
        <f>$DF$39</f>
        <v>G02 X-4.063 Y-3.375 Z-0.313 R3,433</v>
      </c>
      <c r="DN57" s="375" t="str">
        <f t="shared" si="30"/>
        <v>G02 X0. Y0. Z-1.25 I-4.063 J0.</v>
      </c>
      <c r="DP57" s="375" t="str">
        <f t="shared" si="31"/>
        <v>G02 X0. Y0. Z-1.25 I-4.063 J0.</v>
      </c>
      <c r="DR57" s="375" t="str">
        <f>$DH$42</f>
        <v>G02 X0. Y0. Z-1.25 I-4.063 J0.</v>
      </c>
      <c r="DT57" s="375" t="str">
        <f>$DF$36</f>
        <v>G02 X0. Y0. Z-1.25 I-4.063 J0. F80</v>
      </c>
      <c r="DV57" s="23" t="str">
        <f>$DF$33</f>
        <v>G02 X4.063 Y-3.375 Z-0.313 R3,433</v>
      </c>
      <c r="DW57" s="23" t="str">
        <f>$DE$30</f>
        <v>M30</v>
      </c>
      <c r="DX57" s="23" t="str">
        <f>$DF$30</f>
        <v>G91 G42 D10 X0. Y3,375 F40</v>
      </c>
      <c r="DY57" s="23" t="str">
        <f>$DE$27</f>
        <v>G90 G49 G00 Z200. M5</v>
      </c>
      <c r="DZ57" s="23" t="str">
        <f>$DF$27</f>
        <v>G90 G00 Z0.313</v>
      </c>
      <c r="EA57" s="23" t="str">
        <f>$DE$24</f>
        <v>G00 G40 X0. Y3.375</v>
      </c>
      <c r="EB57" s="23" t="str">
        <f>$DF$24</f>
        <v>G00 G40 X0. Y3.375</v>
      </c>
      <c r="EC57" s="23" t="str">
        <f>$DE$21</f>
        <v>G02 X-4.063 Y-3.375 Z-0.313 R3,433</v>
      </c>
      <c r="ED57" s="23" t="str">
        <f>$DF$21</f>
        <v>G02 X-3.84 Y-3.375 Z-0.313 R3,403</v>
      </c>
      <c r="EE57" s="375" t="str">
        <f>$DG$21</f>
        <v>G02 X0. Y0. Z-1.25 I-4.063 J0.</v>
      </c>
      <c r="EF57" s="375" t="str">
        <f t="shared" si="26"/>
        <v>G02 X0. Y0. Z-1.25 I-3.84 J0.</v>
      </c>
      <c r="EH57" s="23" t="str">
        <f>EG30</f>
        <v>G03 X-4.102 Y3.375 Z0.313 R3,438</v>
      </c>
      <c r="EJ57" s="23" t="str">
        <f>BZ51</f>
        <v>M30</v>
      </c>
      <c r="EL57" s="23" t="str">
        <f>EH51</f>
        <v>G03 X4.082 Y-4.092 Z0.313 I4.082 J-0.01</v>
      </c>
    </row>
    <row r="58" spans="7:260" ht="15.95" customHeight="1">
      <c r="X58" s="38"/>
      <c r="AA58" s="46"/>
      <c r="AD58" s="131">
        <v>57</v>
      </c>
      <c r="AE58" s="348">
        <v>2</v>
      </c>
      <c r="AF58" s="348">
        <v>1</v>
      </c>
      <c r="AG58" s="348">
        <v>1</v>
      </c>
      <c r="AH58" s="351" t="s">
        <v>1580</v>
      </c>
      <c r="AI58" s="352">
        <v>12</v>
      </c>
      <c r="AJ58" s="353">
        <v>8.1999999999999993</v>
      </c>
      <c r="AK58" s="354">
        <v>4</v>
      </c>
      <c r="AL58" s="355">
        <v>1.5</v>
      </c>
      <c r="AM58" s="356">
        <v>19.399999999999999</v>
      </c>
      <c r="AN58" s="357">
        <v>80</v>
      </c>
      <c r="AO58" s="349">
        <v>9.6</v>
      </c>
      <c r="AP58" s="370">
        <f t="shared" si="28"/>
        <v>57</v>
      </c>
      <c r="AQ58" s="16" t="b">
        <f t="shared" si="1"/>
        <v>0</v>
      </c>
      <c r="AR58" s="16" t="b">
        <f t="shared" si="2"/>
        <v>0</v>
      </c>
      <c r="AS58" s="16">
        <f t="shared" si="3"/>
        <v>57</v>
      </c>
      <c r="AT58" s="16">
        <f t="shared" si="4"/>
        <v>57</v>
      </c>
      <c r="AU58" s="16" t="b">
        <f t="shared" si="5"/>
        <v>0</v>
      </c>
      <c r="BA58" s="61">
        <v>13</v>
      </c>
      <c r="BB58" s="157">
        <v>80</v>
      </c>
      <c r="BC58" s="158">
        <v>0.11</v>
      </c>
      <c r="BD58" s="213">
        <v>0.17</v>
      </c>
      <c r="BK58" s="18"/>
      <c r="BP58"/>
      <c r="BV58" s="8"/>
      <c r="BY58" s="23" t="str">
        <f t="shared" si="11"/>
        <v/>
      </c>
      <c r="DN58" s="375"/>
      <c r="DP58" s="375"/>
      <c r="DR58" s="375"/>
      <c r="DV58" s="375"/>
      <c r="DX58" s="375"/>
      <c r="EB58" s="375"/>
    </row>
    <row r="59" spans="7:260" ht="15.95" customHeight="1">
      <c r="X59" s="38"/>
      <c r="AA59" s="46"/>
      <c r="AD59" s="131">
        <v>58</v>
      </c>
      <c r="AE59" s="348">
        <v>2</v>
      </c>
      <c r="AF59" s="348">
        <v>1</v>
      </c>
      <c r="AG59" s="348">
        <v>1</v>
      </c>
      <c r="AH59" s="351" t="s">
        <v>1581</v>
      </c>
      <c r="AI59" s="352">
        <v>10</v>
      </c>
      <c r="AJ59" s="353">
        <v>6.5</v>
      </c>
      <c r="AK59" s="354">
        <v>3</v>
      </c>
      <c r="AL59" s="355">
        <v>1.25</v>
      </c>
      <c r="AM59" s="356">
        <v>16.18</v>
      </c>
      <c r="AN59" s="357">
        <v>74</v>
      </c>
      <c r="AO59" s="349">
        <v>7.8</v>
      </c>
      <c r="AP59" s="370">
        <f t="shared" si="28"/>
        <v>58</v>
      </c>
      <c r="AQ59" s="16">
        <f t="shared" si="1"/>
        <v>58</v>
      </c>
      <c r="AR59" s="16">
        <f t="shared" si="2"/>
        <v>58</v>
      </c>
      <c r="AS59" s="16" t="b">
        <f t="shared" si="3"/>
        <v>0</v>
      </c>
      <c r="AT59" s="16">
        <f t="shared" si="4"/>
        <v>58</v>
      </c>
      <c r="AU59" s="16" t="b">
        <f t="shared" si="5"/>
        <v>0</v>
      </c>
      <c r="BA59" s="61">
        <v>14</v>
      </c>
      <c r="BB59" s="157">
        <v>70</v>
      </c>
      <c r="BC59" s="158">
        <v>0.11</v>
      </c>
      <c r="BD59" s="213">
        <v>0.17</v>
      </c>
      <c r="BI59" s="21" t="s">
        <v>47</v>
      </c>
      <c r="BP59"/>
      <c r="BV59" s="8"/>
      <c r="BY59" s="23" t="str">
        <f t="shared" si="11"/>
        <v/>
      </c>
      <c r="DN59" s="375"/>
      <c r="DP59" s="375"/>
      <c r="DR59" s="375"/>
      <c r="DV59" s="375"/>
      <c r="DX59" s="375"/>
      <c r="EB59" s="375"/>
    </row>
    <row r="60" spans="7:260" ht="15.95" customHeight="1">
      <c r="I60" s="5" t="str">
        <f t="shared" ref="I60:I66" si="32">LOOKUP(H$27,J$2:L$2,J60:L60)</f>
        <v>D = thread diameter (mm)</v>
      </c>
      <c r="J60" s="5" t="s">
        <v>1406</v>
      </c>
      <c r="K60" s="5" t="s">
        <v>718</v>
      </c>
      <c r="L60" s="5" t="s">
        <v>1006</v>
      </c>
      <c r="M60" s="5" t="s">
        <v>334</v>
      </c>
      <c r="N60" s="5" t="s">
        <v>707</v>
      </c>
      <c r="O60" s="5" t="s">
        <v>1274</v>
      </c>
      <c r="P60" s="5" t="s">
        <v>349</v>
      </c>
      <c r="Q60" s="5" t="s">
        <v>214</v>
      </c>
      <c r="R60" s="5" t="s">
        <v>105</v>
      </c>
      <c r="S60" s="5" t="s">
        <v>1266</v>
      </c>
      <c r="T60" s="5" t="s">
        <v>481</v>
      </c>
      <c r="U60" s="5" t="s">
        <v>523</v>
      </c>
      <c r="V60" s="5" t="s">
        <v>322</v>
      </c>
      <c r="W60" s="5" t="s">
        <v>558</v>
      </c>
      <c r="X60" s="38" t="s">
        <v>7</v>
      </c>
      <c r="Y60" s="43" t="s">
        <v>1890</v>
      </c>
      <c r="Z60" s="5" t="s">
        <v>1891</v>
      </c>
      <c r="AA60" s="46" t="s">
        <v>1892</v>
      </c>
      <c r="AB60" s="5" t="s">
        <v>1053</v>
      </c>
      <c r="AD60" s="131">
        <v>59</v>
      </c>
      <c r="AE60" s="348">
        <v>2</v>
      </c>
      <c r="AF60" s="348">
        <v>1</v>
      </c>
      <c r="AG60" s="348">
        <v>1</v>
      </c>
      <c r="AH60" s="351" t="s">
        <v>1582</v>
      </c>
      <c r="AI60" s="352">
        <v>8</v>
      </c>
      <c r="AJ60" s="353">
        <v>4.8</v>
      </c>
      <c r="AK60" s="354">
        <v>3</v>
      </c>
      <c r="AL60" s="355">
        <v>1</v>
      </c>
      <c r="AM60" s="356">
        <v>11.9</v>
      </c>
      <c r="AN60" s="357">
        <v>62</v>
      </c>
      <c r="AO60" s="349">
        <v>5.8</v>
      </c>
      <c r="AP60" s="370">
        <f t="shared" si="28"/>
        <v>59</v>
      </c>
      <c r="AQ60" s="16">
        <f t="shared" si="1"/>
        <v>59</v>
      </c>
      <c r="AR60" s="16" t="b">
        <f t="shared" si="2"/>
        <v>0</v>
      </c>
      <c r="AS60" s="16" t="b">
        <f t="shared" si="3"/>
        <v>0</v>
      </c>
      <c r="AT60" s="16">
        <f t="shared" si="4"/>
        <v>59</v>
      </c>
      <c r="AU60" s="16" t="b">
        <f t="shared" si="5"/>
        <v>0</v>
      </c>
      <c r="BA60" s="61">
        <v>15</v>
      </c>
      <c r="BB60" s="157">
        <v>60</v>
      </c>
      <c r="BC60" s="158">
        <v>0.1</v>
      </c>
      <c r="BD60" s="213">
        <v>0.15</v>
      </c>
      <c r="BH60" s="429" t="s">
        <v>44</v>
      </c>
      <c r="BI60" s="58">
        <f>(C11+C12+BL6/4)*60/5000</f>
        <v>0.24975</v>
      </c>
      <c r="BO60" s="14"/>
      <c r="BP60" s="14"/>
      <c r="BQ60" s="14"/>
      <c r="BR60" s="14"/>
      <c r="BS60" s="14"/>
      <c r="BV60" s="8">
        <v>20</v>
      </c>
      <c r="BW60" s="54" t="str">
        <f>LOOKUP(BT$54,BX$2:EM$2,BX60:EM60)</f>
        <v/>
      </c>
      <c r="BY60" s="23" t="str">
        <f t="shared" si="11"/>
        <v/>
      </c>
      <c r="CB60" s="23" t="str">
        <f>CA42</f>
        <v>END1</v>
      </c>
      <c r="CD60" s="23" t="str">
        <f>CD30</f>
        <v>#2=#2+1</v>
      </c>
      <c r="CJ60" s="23" t="str">
        <f>$CF$48</f>
        <v>M30</v>
      </c>
      <c r="CL60" s="23" t="str">
        <f>$CF$42</f>
        <v>G00 G40 X0. Y-3.375</v>
      </c>
      <c r="CN60" s="375" t="str">
        <f>$CH$42</f>
        <v>G03 X0. Y0. Z1.25 I-4.063 J0.</v>
      </c>
      <c r="CP60" s="375" t="str">
        <f>$CH$42</f>
        <v>G03 X0. Y0. Z1.25 I-4.063 J0.</v>
      </c>
      <c r="CR60" s="375" t="str">
        <f>$CH$42</f>
        <v>G03 X0. Y0. Z1.25 I-4.063 J0.</v>
      </c>
      <c r="CT60" s="375" t="str">
        <f>$CH$42</f>
        <v>G03 X0. Y0. Z1.25 I-4.063 J0.</v>
      </c>
      <c r="CV60" s="375" t="str">
        <f>$CF$36</f>
        <v>G03 X0. Y0. Z1.25 I-4.063 J0. F80</v>
      </c>
      <c r="CX60" s="23" t="str">
        <f>$CF$33</f>
        <v>G03 X4.063 Y3.375 Z0.313 R3,433</v>
      </c>
      <c r="CY60" s="23" t="str">
        <f>CG33</f>
        <v>M30</v>
      </c>
      <c r="CZ60" s="23" t="str">
        <f>$CF$30</f>
        <v>G41 D10 X0. Y-3,375 F40</v>
      </c>
      <c r="DA60" s="23" t="str">
        <f>CG30</f>
        <v>G90 G49 G00 Z200. M5</v>
      </c>
      <c r="DB60" s="23" t="str">
        <f>$CF$27</f>
        <v>G00 Z-16.875</v>
      </c>
      <c r="DC60" s="23" t="str">
        <f>CG27</f>
        <v>G00 G40 X0. Y-3.375</v>
      </c>
      <c r="DD60" s="23" t="str">
        <f>$CF$24</f>
        <v>G00 G40 X0. Y-3.375</v>
      </c>
      <c r="DJ60" s="23" t="str">
        <f>$DF$48</f>
        <v>M30</v>
      </c>
      <c r="DL60" s="23" t="str">
        <f>$DF$42</f>
        <v>G00 G40 X0. Y3.375</v>
      </c>
      <c r="DN60" s="375" t="str">
        <f t="shared" si="30"/>
        <v>G02 X0. Y0. Z-1.25 I-4.063 J0.</v>
      </c>
      <c r="DP60" s="375" t="str">
        <f t="shared" si="31"/>
        <v>G02 X0. Y0. Z-1.25 I-4.063 J0.</v>
      </c>
      <c r="DR60" s="375" t="str">
        <f>$DH$42</f>
        <v>G02 X0. Y0. Z-1.25 I-4.063 J0.</v>
      </c>
      <c r="DT60" s="375" t="str">
        <f>$DH$42</f>
        <v>G02 X0. Y0. Z-1.25 I-4.063 J0.</v>
      </c>
      <c r="DV60" s="375" t="str">
        <f>$DF$36</f>
        <v>G02 X0. Y0. Z-1.25 I-4.063 J0. F80</v>
      </c>
      <c r="DX60" s="23" t="str">
        <f>$DF$33</f>
        <v>G02 X4.063 Y-3.375 Z-0.313 R3,433</v>
      </c>
      <c r="DY60" s="23" t="str">
        <f>$DE$30</f>
        <v>M30</v>
      </c>
      <c r="DZ60" s="23" t="str">
        <f>$DF$30</f>
        <v>G91 G42 D10 X0. Y3,375 F40</v>
      </c>
      <c r="EA60" s="23" t="str">
        <f>$DE$27</f>
        <v>G90 G49 G00 Z200. M5</v>
      </c>
      <c r="EB60" s="23" t="str">
        <f>$DF$27</f>
        <v>G90 G00 Z0.313</v>
      </c>
      <c r="EC60" s="23" t="str">
        <f>$DE$24</f>
        <v>G00 G40 X0. Y3.375</v>
      </c>
      <c r="ED60" s="23" t="str">
        <f>$DF$24</f>
        <v>G00 G40 X0. Y3.375</v>
      </c>
      <c r="EE60" s="23" t="str">
        <f>$DE$21</f>
        <v>G02 X-4.063 Y-3.375 Z-0.313 R3,433</v>
      </c>
      <c r="EF60" s="23" t="str">
        <f>$DF$21</f>
        <v>G02 X-3.84 Y-3.375 Z-0.313 R3,403</v>
      </c>
      <c r="EH60" s="23" t="str">
        <f>EG33</f>
        <v>G00 G40 X0. Y-3.375</v>
      </c>
      <c r="EL60" s="23" t="str">
        <f>EH54</f>
        <v>G03 X4.102 Y4.092 Z0.313 I0.01 J4.092</v>
      </c>
    </row>
    <row r="61" spans="7:260" ht="15.95" customHeight="1">
      <c r="I61" s="5" t="str">
        <f t="shared" si="32"/>
        <v>P = pitch (mm)</v>
      </c>
      <c r="J61" s="5" t="s">
        <v>710</v>
      </c>
      <c r="K61" s="5" t="s">
        <v>1386</v>
      </c>
      <c r="L61" s="5" t="s">
        <v>470</v>
      </c>
      <c r="M61" s="5" t="s">
        <v>760</v>
      </c>
      <c r="N61" s="5" t="s">
        <v>708</v>
      </c>
      <c r="O61" s="5" t="s">
        <v>1275</v>
      </c>
      <c r="P61" s="5" t="s">
        <v>350</v>
      </c>
      <c r="Q61" s="5" t="s">
        <v>215</v>
      </c>
      <c r="R61" s="5" t="s">
        <v>106</v>
      </c>
      <c r="S61" s="5" t="s">
        <v>1267</v>
      </c>
      <c r="T61" s="5" t="s">
        <v>375</v>
      </c>
      <c r="U61" s="5" t="s">
        <v>524</v>
      </c>
      <c r="V61" s="5" t="s">
        <v>311</v>
      </c>
      <c r="W61" s="5" t="s">
        <v>760</v>
      </c>
      <c r="X61" s="38" t="s">
        <v>8</v>
      </c>
      <c r="Y61" s="43" t="s">
        <v>1893</v>
      </c>
      <c r="Z61" s="5" t="s">
        <v>1894</v>
      </c>
      <c r="AA61" s="46" t="s">
        <v>1895</v>
      </c>
      <c r="AB61" s="5" t="s">
        <v>358</v>
      </c>
      <c r="AD61" s="131">
        <v>60</v>
      </c>
      <c r="AE61" s="348">
        <v>1</v>
      </c>
      <c r="AF61" s="348">
        <v>1</v>
      </c>
      <c r="AG61" s="348">
        <v>1</v>
      </c>
      <c r="AH61" s="351" t="s">
        <v>1583</v>
      </c>
      <c r="AI61" s="352">
        <v>16</v>
      </c>
      <c r="AJ61" s="353">
        <v>16</v>
      </c>
      <c r="AK61" s="354">
        <v>5</v>
      </c>
      <c r="AL61" s="355">
        <v>2</v>
      </c>
      <c r="AM61" s="356">
        <v>32</v>
      </c>
      <c r="AN61" s="357">
        <v>92</v>
      </c>
      <c r="AO61" s="349">
        <v>19.600000000000001</v>
      </c>
      <c r="AP61" s="370">
        <f t="shared" si="28"/>
        <v>60</v>
      </c>
      <c r="AQ61" s="16" t="b">
        <f t="shared" si="1"/>
        <v>0</v>
      </c>
      <c r="AR61" s="16" t="b">
        <f t="shared" si="2"/>
        <v>0</v>
      </c>
      <c r="AS61" s="16">
        <f t="shared" si="3"/>
        <v>60</v>
      </c>
      <c r="AT61" s="16">
        <f t="shared" si="4"/>
        <v>60</v>
      </c>
      <c r="AU61" s="16" t="b">
        <f t="shared" si="5"/>
        <v>0</v>
      </c>
      <c r="BA61" s="61">
        <v>16</v>
      </c>
      <c r="BB61" s="157">
        <v>50</v>
      </c>
      <c r="BC61" s="158">
        <v>0.1</v>
      </c>
      <c r="BD61" s="213">
        <v>0.15</v>
      </c>
      <c r="BH61" s="430"/>
      <c r="BI61" s="65">
        <f>(C11+C12-(5*BL6/4))*60/5000</f>
        <v>0.22725000000000001</v>
      </c>
      <c r="BO61" s="99" t="s">
        <v>1013</v>
      </c>
      <c r="BP61" s="238">
        <f>ROUND((BP50)-((IF(D22&gt;0,D22,C22))/2),3)</f>
        <v>0.375</v>
      </c>
      <c r="BQ61" s="7"/>
      <c r="BR61" s="7"/>
      <c r="BS61" s="7"/>
      <c r="BV61" s="8"/>
      <c r="BY61" s="23" t="str">
        <f t="shared" si="11"/>
        <v/>
      </c>
      <c r="DL61" s="375"/>
      <c r="DN61" s="375"/>
      <c r="DP61" s="375"/>
      <c r="DR61" s="375"/>
      <c r="DT61" s="375"/>
      <c r="DX61" s="375"/>
      <c r="DZ61" s="375"/>
      <c r="ED61" s="375"/>
    </row>
    <row r="62" spans="7:260" ht="15.95" customHeight="1">
      <c r="I62" s="5" t="str">
        <f t="shared" si="32"/>
        <v>P = pitch (TPI)</v>
      </c>
      <c r="J62" s="5" t="s">
        <v>711</v>
      </c>
      <c r="K62" s="5" t="s">
        <v>1426</v>
      </c>
      <c r="L62" s="5" t="s">
        <v>471</v>
      </c>
      <c r="M62" s="5" t="s">
        <v>335</v>
      </c>
      <c r="N62" s="5" t="s">
        <v>709</v>
      </c>
      <c r="O62" s="5" t="s">
        <v>1276</v>
      </c>
      <c r="P62" s="5" t="s">
        <v>351</v>
      </c>
      <c r="Q62" s="5" t="s">
        <v>486</v>
      </c>
      <c r="R62" s="5" t="s">
        <v>749</v>
      </c>
      <c r="S62" s="5" t="s">
        <v>1268</v>
      </c>
      <c r="T62" s="5" t="s">
        <v>1090</v>
      </c>
      <c r="U62" s="5" t="s">
        <v>531</v>
      </c>
      <c r="V62" s="5" t="s">
        <v>323</v>
      </c>
      <c r="W62" s="5" t="s">
        <v>749</v>
      </c>
      <c r="X62" s="38" t="s">
        <v>415</v>
      </c>
      <c r="Y62" s="43" t="s">
        <v>1896</v>
      </c>
      <c r="Z62" s="5" t="s">
        <v>1897</v>
      </c>
      <c r="AA62" s="46" t="s">
        <v>1898</v>
      </c>
      <c r="AB62" s="5" t="s">
        <v>359</v>
      </c>
      <c r="AD62" s="131">
        <v>61</v>
      </c>
      <c r="AE62" s="348">
        <v>1</v>
      </c>
      <c r="AF62" s="348">
        <v>1</v>
      </c>
      <c r="AG62" s="348">
        <v>1</v>
      </c>
      <c r="AH62" s="351" t="s">
        <v>1584</v>
      </c>
      <c r="AI62" s="352">
        <v>16</v>
      </c>
      <c r="AJ62" s="353">
        <v>16</v>
      </c>
      <c r="AK62" s="354">
        <v>5</v>
      </c>
      <c r="AL62" s="355">
        <v>1.5</v>
      </c>
      <c r="AM62" s="356">
        <v>31.5</v>
      </c>
      <c r="AN62" s="357">
        <v>92</v>
      </c>
      <c r="AO62" s="349">
        <v>19.600000000000001</v>
      </c>
      <c r="AP62" s="370">
        <f t="shared" si="28"/>
        <v>61</v>
      </c>
      <c r="AQ62" s="16" t="b">
        <f t="shared" si="1"/>
        <v>0</v>
      </c>
      <c r="AR62" s="16" t="b">
        <f t="shared" si="2"/>
        <v>0</v>
      </c>
      <c r="AS62" s="16">
        <f t="shared" si="3"/>
        <v>61</v>
      </c>
      <c r="AT62" s="16">
        <f t="shared" si="4"/>
        <v>61</v>
      </c>
      <c r="AU62" s="16" t="b">
        <f t="shared" si="5"/>
        <v>0</v>
      </c>
      <c r="BA62" s="61">
        <v>17</v>
      </c>
      <c r="BB62" s="157">
        <v>40</v>
      </c>
      <c r="BC62" s="158">
        <v>0.06</v>
      </c>
      <c r="BD62" s="213">
        <v>0.11</v>
      </c>
      <c r="BH62" s="430"/>
      <c r="BI62" s="65">
        <f>(188.5*C9)/(4*0.6*C29)</f>
        <v>1.9758909853249478</v>
      </c>
      <c r="BJ62" s="7"/>
      <c r="BK62" s="16"/>
      <c r="BO62" s="99" t="s">
        <v>1017</v>
      </c>
      <c r="BP62" s="125">
        <f>ROUND(((BP50-BP61)+(BP49/2))/2,3)</f>
        <v>3.5310000000000001</v>
      </c>
      <c r="BQ62" s="14"/>
      <c r="BR62" s="16"/>
      <c r="BS62" s="19"/>
      <c r="BY62" s="23" t="str">
        <f t="shared" si="11"/>
        <v/>
      </c>
      <c r="DL62" s="375"/>
      <c r="DN62" s="375"/>
      <c r="DP62" s="375"/>
      <c r="DR62" s="375"/>
      <c r="DT62" s="375"/>
      <c r="DX62" s="375"/>
      <c r="DZ62" s="375"/>
      <c r="ED62" s="375"/>
    </row>
    <row r="63" spans="7:260" ht="15.95" customHeight="1">
      <c r="I63" s="5" t="str">
        <f t="shared" si="32"/>
        <v>L = thread length (mm)</v>
      </c>
      <c r="J63" s="5" t="s">
        <v>1088</v>
      </c>
      <c r="K63" s="5" t="s">
        <v>1315</v>
      </c>
      <c r="L63" s="5" t="s">
        <v>1018</v>
      </c>
      <c r="M63" s="5" t="s">
        <v>336</v>
      </c>
      <c r="N63" s="5" t="s">
        <v>1357</v>
      </c>
      <c r="O63" s="5" t="s">
        <v>559</v>
      </c>
      <c r="P63" s="5" t="s">
        <v>352</v>
      </c>
      <c r="Q63" s="5" t="s">
        <v>487</v>
      </c>
      <c r="R63" s="5" t="s">
        <v>107</v>
      </c>
      <c r="S63" s="5" t="s">
        <v>1269</v>
      </c>
      <c r="T63" s="5" t="s">
        <v>1130</v>
      </c>
      <c r="U63" s="5" t="s">
        <v>532</v>
      </c>
      <c r="V63" s="5" t="s">
        <v>324</v>
      </c>
      <c r="W63" s="5" t="s">
        <v>777</v>
      </c>
      <c r="X63" s="38" t="s">
        <v>416</v>
      </c>
      <c r="Y63" s="43" t="s">
        <v>1899</v>
      </c>
      <c r="Z63" s="5" t="s">
        <v>1900</v>
      </c>
      <c r="AA63" s="46" t="s">
        <v>1901</v>
      </c>
      <c r="AB63" s="5" t="s">
        <v>360</v>
      </c>
      <c r="AD63" s="131">
        <v>62</v>
      </c>
      <c r="AE63" s="348">
        <v>1</v>
      </c>
      <c r="AF63" s="348">
        <v>1</v>
      </c>
      <c r="AG63" s="348">
        <v>1</v>
      </c>
      <c r="AH63" s="351" t="s">
        <v>1585</v>
      </c>
      <c r="AI63" s="352">
        <v>16</v>
      </c>
      <c r="AJ63" s="353">
        <v>16</v>
      </c>
      <c r="AK63" s="354">
        <v>5</v>
      </c>
      <c r="AL63" s="355">
        <v>1</v>
      </c>
      <c r="AM63" s="356">
        <v>31</v>
      </c>
      <c r="AN63" s="357">
        <v>92</v>
      </c>
      <c r="AO63" s="349">
        <v>19.8</v>
      </c>
      <c r="AP63" s="370">
        <f t="shared" si="28"/>
        <v>62</v>
      </c>
      <c r="AQ63" s="16" t="b">
        <f t="shared" si="1"/>
        <v>0</v>
      </c>
      <c r="AR63" s="16" t="b">
        <f t="shared" si="2"/>
        <v>0</v>
      </c>
      <c r="AS63" s="16">
        <f t="shared" si="3"/>
        <v>62</v>
      </c>
      <c r="AT63" s="16">
        <f t="shared" si="4"/>
        <v>62</v>
      </c>
      <c r="AU63" s="16" t="b">
        <f t="shared" si="5"/>
        <v>0</v>
      </c>
      <c r="BA63" s="61">
        <v>18</v>
      </c>
      <c r="BB63" s="157">
        <v>30</v>
      </c>
      <c r="BC63" s="158">
        <v>0.03</v>
      </c>
      <c r="BD63" s="213">
        <v>7.0000000000000007E-2</v>
      </c>
      <c r="BH63" s="430"/>
      <c r="BI63" s="65">
        <f>188.5*C9/C29</f>
        <v>4.7421383647798745</v>
      </c>
      <c r="BJ63" s="376">
        <f>BI63*(IF(BP48&lt;3,BP48,(BP48-1)))</f>
        <v>61.64779874213837</v>
      </c>
      <c r="BK63" s="18"/>
      <c r="BO63" s="99" t="s">
        <v>1022</v>
      </c>
      <c r="BP63" s="125">
        <f>ROUND(BL6/2,3)</f>
        <v>0.625</v>
      </c>
      <c r="BQ63" s="14"/>
      <c r="BR63" s="16"/>
      <c r="BS63" s="19"/>
      <c r="BV63" s="8">
        <v>21</v>
      </c>
      <c r="BW63" s="54" t="str">
        <f>LOOKUP(BT$54,BX$2:EM$2,BX63:EM63)</f>
        <v/>
      </c>
      <c r="BY63" s="23" t="str">
        <f t="shared" si="11"/>
        <v/>
      </c>
      <c r="CB63" s="23" t="str">
        <f>CA45</f>
        <v>G00 Z3.375</v>
      </c>
      <c r="CD63" s="23" t="str">
        <f>CONCATENATE(GC63)</f>
        <v>END2</v>
      </c>
      <c r="CL63" s="23" t="str">
        <f>$CF$45</f>
        <v>G90 G49 G00 Z200. M5</v>
      </c>
      <c r="CN63" s="23" t="str">
        <f>$CF$39</f>
        <v>G03 X-4.063 Y3.375 Z0.313 R3,433</v>
      </c>
      <c r="CP63" s="375" t="str">
        <f>$CH$42</f>
        <v>G03 X0. Y0. Z1.25 I-4.063 J0.</v>
      </c>
      <c r="CR63" s="375" t="str">
        <f>$CH$42</f>
        <v>G03 X0. Y0. Z1.25 I-4.063 J0.</v>
      </c>
      <c r="CT63" s="375" t="str">
        <f>$CH$42</f>
        <v>G03 X0. Y0. Z1.25 I-4.063 J0.</v>
      </c>
      <c r="CV63" s="375" t="str">
        <f>$CH$42</f>
        <v>G03 X0. Y0. Z1.25 I-4.063 J0.</v>
      </c>
      <c r="CX63" s="375" t="str">
        <f>$CF$36</f>
        <v>G03 X0. Y0. Z1.25 I-4.063 J0. F80</v>
      </c>
      <c r="CZ63" s="23" t="str">
        <f>$CF$33</f>
        <v>G03 X4.063 Y3.375 Z0.313 R3,433</v>
      </c>
      <c r="DA63" s="23" t="str">
        <f>CG33</f>
        <v>M30</v>
      </c>
      <c r="DB63" s="23" t="str">
        <f>$CF$30</f>
        <v>G41 D10 X0. Y-3,375 F40</v>
      </c>
      <c r="DC63" s="23" t="str">
        <f>CG30</f>
        <v>G90 G49 G00 Z200. M5</v>
      </c>
      <c r="DD63" s="23" t="str">
        <f>$CF$27</f>
        <v>G00 Z-16.875</v>
      </c>
      <c r="DL63" s="23" t="str">
        <f>$DF$45</f>
        <v>G90 G49 G00 Z200. M5</v>
      </c>
      <c r="DN63" s="23" t="str">
        <f>$DF$39</f>
        <v>G02 X-4.063 Y-3.375 Z-0.313 R3,433</v>
      </c>
      <c r="DP63" s="375" t="str">
        <f t="shared" si="31"/>
        <v>G02 X0. Y0. Z-1.25 I-4.063 J0.</v>
      </c>
      <c r="DR63" s="375" t="str">
        <f>$DH$42</f>
        <v>G02 X0. Y0. Z-1.25 I-4.063 J0.</v>
      </c>
      <c r="DT63" s="375" t="str">
        <f>$DH$42</f>
        <v>G02 X0. Y0. Z-1.25 I-4.063 J0.</v>
      </c>
      <c r="DV63" s="375" t="str">
        <f>$DH$42</f>
        <v>G02 X0. Y0. Z-1.25 I-4.063 J0.</v>
      </c>
      <c r="DX63" s="375" t="str">
        <f>$DF$36</f>
        <v>G02 X0. Y0. Z-1.25 I-4.063 J0. F80</v>
      </c>
      <c r="DZ63" s="23" t="str">
        <f>$DF$33</f>
        <v>G02 X4.063 Y-3.375 Z-0.313 R3,433</v>
      </c>
      <c r="EA63" s="23" t="str">
        <f>$DE$30</f>
        <v>M30</v>
      </c>
      <c r="EB63" s="23" t="str">
        <f>$DF$30</f>
        <v>G91 G42 D10 X0. Y3,375 F40</v>
      </c>
      <c r="EC63" s="23" t="str">
        <f>$DE$27</f>
        <v>G90 G49 G00 Z200. M5</v>
      </c>
      <c r="ED63" s="23" t="str">
        <f>$DF$27</f>
        <v>G90 G00 Z0.313</v>
      </c>
      <c r="EE63" s="23" t="str">
        <f>$DE$24</f>
        <v>G00 G40 X0. Y3.375</v>
      </c>
      <c r="EF63" s="23" t="str">
        <f>$DF$24</f>
        <v>G00 G40 X0. Y3.375</v>
      </c>
      <c r="EH63" s="23" t="str">
        <f>EG36</f>
        <v>G00 Z18.937</v>
      </c>
      <c r="EL63" s="23" t="str">
        <f>EH57</f>
        <v>G03 X-4.102 Y3.375 Z0.313 R3,438</v>
      </c>
      <c r="GB63" s="26">
        <v>21</v>
      </c>
      <c r="GC63" s="14" t="s">
        <v>1418</v>
      </c>
    </row>
    <row r="64" spans="7:260" ht="15.95" customHeight="1">
      <c r="I64" s="5" t="str">
        <f t="shared" si="32"/>
        <v>S = safety distance (mm)</v>
      </c>
      <c r="J64" s="5" t="s">
        <v>1089</v>
      </c>
      <c r="K64" s="5" t="s">
        <v>136</v>
      </c>
      <c r="L64" s="5" t="s">
        <v>1023</v>
      </c>
      <c r="M64" s="5" t="s">
        <v>338</v>
      </c>
      <c r="N64" s="5" t="s">
        <v>750</v>
      </c>
      <c r="O64" s="5" t="s">
        <v>560</v>
      </c>
      <c r="P64" s="5" t="s">
        <v>353</v>
      </c>
      <c r="Q64" s="5" t="s">
        <v>488</v>
      </c>
      <c r="R64" s="5" t="s">
        <v>108</v>
      </c>
      <c r="S64" s="5" t="s">
        <v>33</v>
      </c>
      <c r="T64" s="5" t="s">
        <v>1131</v>
      </c>
      <c r="U64" s="5" t="s">
        <v>782</v>
      </c>
      <c r="V64" s="5" t="s">
        <v>325</v>
      </c>
      <c r="W64" s="5" t="s">
        <v>1225</v>
      </c>
      <c r="X64" s="38" t="s">
        <v>417</v>
      </c>
      <c r="Y64" s="43" t="s">
        <v>1902</v>
      </c>
      <c r="Z64" s="5" t="s">
        <v>1903</v>
      </c>
      <c r="AA64" s="46" t="s">
        <v>1904</v>
      </c>
      <c r="AB64" s="5" t="s">
        <v>339</v>
      </c>
      <c r="AD64" s="131">
        <v>63</v>
      </c>
      <c r="AE64" s="348">
        <v>1</v>
      </c>
      <c r="AF64" s="348">
        <v>1</v>
      </c>
      <c r="AG64" s="348">
        <v>1</v>
      </c>
      <c r="AH64" s="351" t="s">
        <v>1586</v>
      </c>
      <c r="AI64" s="352">
        <v>14</v>
      </c>
      <c r="AJ64" s="353">
        <v>14</v>
      </c>
      <c r="AK64" s="354">
        <v>5</v>
      </c>
      <c r="AL64" s="355">
        <v>1.5</v>
      </c>
      <c r="AM64" s="356">
        <v>28.5</v>
      </c>
      <c r="AN64" s="357">
        <v>92</v>
      </c>
      <c r="AO64" s="349">
        <v>17.600000000000001</v>
      </c>
      <c r="AP64" s="370">
        <f t="shared" si="28"/>
        <v>63</v>
      </c>
      <c r="AQ64" s="16" t="b">
        <f t="shared" si="1"/>
        <v>0</v>
      </c>
      <c r="AR64" s="16" t="b">
        <f t="shared" si="2"/>
        <v>0</v>
      </c>
      <c r="AS64" s="16">
        <f t="shared" si="3"/>
        <v>63</v>
      </c>
      <c r="AT64" s="16">
        <f t="shared" si="4"/>
        <v>63</v>
      </c>
      <c r="AU64" s="16" t="b">
        <f t="shared" si="5"/>
        <v>0</v>
      </c>
      <c r="BA64" s="61">
        <v>19</v>
      </c>
      <c r="BB64" s="157">
        <v>90</v>
      </c>
      <c r="BC64" s="158">
        <v>0.05</v>
      </c>
      <c r="BD64" s="213">
        <v>7.0000000000000007E-2</v>
      </c>
      <c r="BH64" s="430"/>
      <c r="BI64" s="65">
        <f>(188.5*C9)/(4*C29)</f>
        <v>1.1855345911949686</v>
      </c>
      <c r="BJ64" s="376"/>
      <c r="BK64" s="18"/>
      <c r="BO64" s="181" t="s">
        <v>1141</v>
      </c>
      <c r="BP64" s="239">
        <f>(-BP50+BP61)</f>
        <v>-3</v>
      </c>
      <c r="BQ64" s="16"/>
      <c r="BR64" s="16"/>
      <c r="BS64" s="16"/>
      <c r="BY64" s="23" t="str">
        <f t="shared" si="11"/>
        <v/>
      </c>
      <c r="DP64" s="375"/>
      <c r="DR64" s="375"/>
      <c r="DT64" s="375"/>
      <c r="DV64" s="375"/>
      <c r="DZ64" s="375"/>
      <c r="EB64" s="375"/>
      <c r="EF64" s="375"/>
    </row>
    <row r="65" spans="9:260" ht="15.95" customHeight="1">
      <c r="I65" s="5" t="str">
        <f t="shared" si="32"/>
        <v>ds = chamfering diameter (mm)</v>
      </c>
      <c r="J65" s="191" t="s">
        <v>423</v>
      </c>
      <c r="K65" s="191" t="s">
        <v>424</v>
      </c>
      <c r="L65" s="191" t="s">
        <v>426</v>
      </c>
      <c r="X65" s="38"/>
      <c r="AA65" s="46"/>
      <c r="AD65" s="131">
        <v>64</v>
      </c>
      <c r="AE65" s="348">
        <v>1</v>
      </c>
      <c r="AF65" s="348">
        <v>1</v>
      </c>
      <c r="AG65" s="348">
        <v>1</v>
      </c>
      <c r="AH65" s="351" t="s">
        <v>1587</v>
      </c>
      <c r="AI65" s="352">
        <v>14</v>
      </c>
      <c r="AJ65" s="353">
        <v>14</v>
      </c>
      <c r="AK65" s="354">
        <v>5</v>
      </c>
      <c r="AL65" s="355">
        <v>1</v>
      </c>
      <c r="AM65" s="356">
        <v>28</v>
      </c>
      <c r="AN65" s="357">
        <v>92</v>
      </c>
      <c r="AO65" s="349">
        <v>17.8</v>
      </c>
      <c r="AP65" s="370">
        <f t="shared" si="28"/>
        <v>64</v>
      </c>
      <c r="AQ65" s="16" t="b">
        <f t="shared" si="1"/>
        <v>0</v>
      </c>
      <c r="AR65" s="16" t="b">
        <f t="shared" si="2"/>
        <v>0</v>
      </c>
      <c r="AS65" s="16">
        <f t="shared" si="3"/>
        <v>64</v>
      </c>
      <c r="AT65" s="16">
        <f t="shared" si="4"/>
        <v>64</v>
      </c>
      <c r="AU65" s="16" t="b">
        <f t="shared" si="5"/>
        <v>0</v>
      </c>
      <c r="BA65" s="61">
        <v>20</v>
      </c>
      <c r="BB65" s="157">
        <v>50</v>
      </c>
      <c r="BC65" s="158">
        <v>0.04</v>
      </c>
      <c r="BD65" s="213">
        <v>0.06</v>
      </c>
      <c r="BH65" s="431"/>
      <c r="BI65" s="233">
        <f>ROUND((BI60+BI61+BI62+BI63+BI64),2)</f>
        <v>8.3800000000000008</v>
      </c>
      <c r="BJ65" s="377">
        <f>ROUND((BI60+BI61+BI62+BJ63+BI64),2)</f>
        <v>65.290000000000006</v>
      </c>
      <c r="BK65" s="378" t="s">
        <v>1745</v>
      </c>
      <c r="BO65" s="181" t="s">
        <v>1142</v>
      </c>
      <c r="BP65" s="240">
        <f>IF(D18&gt;0,(D18-(C9+0.3))/2+(IF(D23&gt;0,D23,C23))+(ROUND(((C9+0.3-(IF(D22&gt;0,D22,C22)))/2+(((C9-BL6)/2)*0.36397)),3))+C12,(IF(D23&gt;0,D23,C23))+(ROUND(((C9+0.3-(IF(D22&gt;0,D22,C22)))/2+(((C9-BL6)/2)*0.36397)),3))+C12)</f>
        <v>22.878</v>
      </c>
      <c r="BQ65" s="183">
        <f>(IF(D23&gt;0,D23,C23))+(ROUND(((C9+0.3-(IF(D22&gt;0,D22,C22)))/2+(((C9-BL6)/2)*0.36397)),3))+C12</f>
        <v>22.878</v>
      </c>
      <c r="BR65" s="237"/>
      <c r="BS65" s="14"/>
      <c r="BY65" s="23" t="str">
        <f t="shared" si="11"/>
        <v/>
      </c>
      <c r="DP65" s="375"/>
      <c r="DR65" s="375"/>
      <c r="DT65" s="375"/>
      <c r="DV65" s="375"/>
      <c r="DZ65" s="375"/>
      <c r="EB65" s="375"/>
      <c r="EF65" s="375"/>
    </row>
    <row r="66" spans="9:260" ht="15.95" customHeight="1">
      <c r="I66" s="5" t="str">
        <f t="shared" si="32"/>
        <v>Ls = drilling depth (mm)</v>
      </c>
      <c r="J66" s="191" t="s">
        <v>422</v>
      </c>
      <c r="K66" s="191" t="s">
        <v>425</v>
      </c>
      <c r="L66" s="191" t="s">
        <v>427</v>
      </c>
      <c r="X66" s="38"/>
      <c r="AA66" s="46"/>
      <c r="AD66" s="131">
        <v>65</v>
      </c>
      <c r="AE66" s="348">
        <v>1</v>
      </c>
      <c r="AF66" s="348">
        <v>1</v>
      </c>
      <c r="AG66" s="348">
        <v>1</v>
      </c>
      <c r="AH66" s="351" t="s">
        <v>1588</v>
      </c>
      <c r="AI66" s="352">
        <v>12</v>
      </c>
      <c r="AJ66" s="353">
        <v>12</v>
      </c>
      <c r="AK66" s="354">
        <v>4</v>
      </c>
      <c r="AL66" s="355">
        <v>1.5</v>
      </c>
      <c r="AM66" s="356">
        <v>25.5</v>
      </c>
      <c r="AN66" s="357">
        <v>83</v>
      </c>
      <c r="AO66" s="349">
        <v>15.6</v>
      </c>
      <c r="AP66" s="370">
        <f t="shared" ref="AP66:AP129" si="33">IF(BP$37&lt;=AE66,AD66)</f>
        <v>65</v>
      </c>
      <c r="AQ66" s="16" t="b">
        <f t="shared" ref="AQ66:AQ129" si="34">IF(C$9&gt;=AO66,AD66)</f>
        <v>0</v>
      </c>
      <c r="AR66" s="16" t="b">
        <f t="shared" ref="AR66:AR129" si="35">IF(C$10=AL66,AD66)</f>
        <v>0</v>
      </c>
      <c r="AS66" s="16">
        <f t="shared" ref="AS66:AS129" si="36">IF(C$11&lt;=AM66,AD66)</f>
        <v>65</v>
      </c>
      <c r="AT66" s="16">
        <f t="shared" ref="AT66:AT129" si="37">IF(AG66=BL$10,AD66)</f>
        <v>65</v>
      </c>
      <c r="AU66" s="16" t="b">
        <f t="shared" ref="AU66:AU129" si="38">IF(AP66=FALSE,FALSE,IF(AQ66=FALSE,FALSE,IF(AR66=FALSE,FALSE,IF(AS66=FALSE,FALSE,IF(AT66=FALSE,FALSE,AD66)))))</f>
        <v>0</v>
      </c>
      <c r="BA66" s="61">
        <v>21</v>
      </c>
      <c r="BB66" s="157">
        <v>30</v>
      </c>
      <c r="BC66" s="158">
        <v>0.02</v>
      </c>
      <c r="BD66" s="213">
        <v>0.05</v>
      </c>
      <c r="BO66" s="181" t="s">
        <v>1072</v>
      </c>
      <c r="BP66" s="242">
        <f>ROUND(IF(D18&gt;0,(D18-(C9+0.3))/2+(BL6/3+((IF(D23&gt;0,D23,C23))-C11)),(BL6/3+((IF(D23&gt;0,D23,C23))-C11))),3)</f>
        <v>0.41699999999999998</v>
      </c>
      <c r="BQ66" s="241">
        <f>ROUND(BL6/3+((IF(D23&gt;0,D23,C23))-C11),3)</f>
        <v>0.41699999999999998</v>
      </c>
      <c r="BV66" s="8">
        <v>22</v>
      </c>
      <c r="BW66" s="54" t="str">
        <f>LOOKUP(BT$54,BX$2:EM$2,BX66:EM66)</f>
        <v/>
      </c>
      <c r="BY66" s="23" t="str">
        <f t="shared" si="11"/>
        <v/>
      </c>
      <c r="CB66" s="23" t="str">
        <f>CA48</f>
        <v>G90 G49 G00 Z200. M5</v>
      </c>
      <c r="CD66" s="23" t="str">
        <f>BZ39</f>
        <v>G03 X-4.063 Y3.375 Z0.313 R3,433</v>
      </c>
      <c r="CL66" s="23" t="str">
        <f>$CF$48</f>
        <v>M30</v>
      </c>
      <c r="CN66" s="23" t="str">
        <f>$CF$42</f>
        <v>G00 G40 X0. Y-3.375</v>
      </c>
      <c r="CP66" s="375" t="str">
        <f>$CH$42</f>
        <v>G03 X0. Y0. Z1.25 I-4.063 J0.</v>
      </c>
      <c r="CR66" s="375" t="str">
        <f>$CH$42</f>
        <v>G03 X0. Y0. Z1.25 I-4.063 J0.</v>
      </c>
      <c r="CT66" s="375" t="str">
        <f>$CH$42</f>
        <v>G03 X0. Y0. Z1.25 I-4.063 J0.</v>
      </c>
      <c r="CV66" s="375" t="str">
        <f>$CH$42</f>
        <v>G03 X0. Y0. Z1.25 I-4.063 J0.</v>
      </c>
      <c r="CX66" s="375" t="str">
        <f>$CH$42</f>
        <v>G03 X0. Y0. Z1.25 I-4.063 J0.</v>
      </c>
      <c r="CZ66" s="375" t="str">
        <f>$CF$36</f>
        <v>G03 X0. Y0. Z1.25 I-4.063 J0. F80</v>
      </c>
      <c r="DB66" s="23" t="str">
        <f>$CF$33</f>
        <v>G03 X4.063 Y3.375 Z0.313 R3,433</v>
      </c>
      <c r="DC66" s="23" t="str">
        <f>CG33</f>
        <v>M30</v>
      </c>
      <c r="DD66" s="23" t="str">
        <f>$CF$30</f>
        <v>G41 D10 X0. Y-3,375 F40</v>
      </c>
      <c r="DL66" s="23" t="str">
        <f>$DF$48</f>
        <v>M30</v>
      </c>
      <c r="DN66" s="23" t="str">
        <f>$DF$42</f>
        <v>G00 G40 X0. Y3.375</v>
      </c>
      <c r="DP66" s="375" t="str">
        <f t="shared" si="31"/>
        <v>G02 X0. Y0. Z-1.25 I-4.063 J0.</v>
      </c>
      <c r="DR66" s="375" t="str">
        <f>$DH$42</f>
        <v>G02 X0. Y0. Z-1.25 I-4.063 J0.</v>
      </c>
      <c r="DT66" s="375" t="str">
        <f>$DH$42</f>
        <v>G02 X0. Y0. Z-1.25 I-4.063 J0.</v>
      </c>
      <c r="DV66" s="375" t="str">
        <f>$DH$42</f>
        <v>G02 X0. Y0. Z-1.25 I-4.063 J0.</v>
      </c>
      <c r="DX66" s="375" t="str">
        <f>$DH$42</f>
        <v>G02 X0. Y0. Z-1.25 I-4.063 J0.</v>
      </c>
      <c r="DZ66" s="375" t="str">
        <f>$DF$36</f>
        <v>G02 X0. Y0. Z-1.25 I-4.063 J0. F80</v>
      </c>
      <c r="EB66" s="23" t="str">
        <f>$DF$33</f>
        <v>G02 X4.063 Y-3.375 Z-0.313 R3,433</v>
      </c>
      <c r="EC66" s="23" t="str">
        <f>$DE$30</f>
        <v>M30</v>
      </c>
      <c r="ED66" s="23" t="str">
        <f>$DF$30</f>
        <v>G91 G42 D10 X0. Y3,375 F40</v>
      </c>
      <c r="EE66" s="23" t="str">
        <f>$DE$27</f>
        <v>G90 G49 G00 Z200. M5</v>
      </c>
      <c r="EF66" s="23" t="str">
        <f>$DF$27</f>
        <v>G90 G00 Z0.313</v>
      </c>
      <c r="EH66" s="23" t="str">
        <f>EG39</f>
        <v>G90 G49 G00 Z200. M5</v>
      </c>
      <c r="EL66" s="23" t="str">
        <f>EH60</f>
        <v>G00 G40 X0. Y-3.375</v>
      </c>
    </row>
    <row r="67" spans="9:260" ht="15.95" customHeight="1">
      <c r="X67" s="38"/>
      <c r="AA67" s="46"/>
      <c r="AD67" s="131">
        <v>66</v>
      </c>
      <c r="AE67" s="348">
        <v>1</v>
      </c>
      <c r="AF67" s="348">
        <v>1</v>
      </c>
      <c r="AG67" s="348">
        <v>1</v>
      </c>
      <c r="AH67" s="351" t="s">
        <v>1589</v>
      </c>
      <c r="AI67" s="352">
        <v>12</v>
      </c>
      <c r="AJ67" s="353">
        <v>12</v>
      </c>
      <c r="AK67" s="354">
        <v>4</v>
      </c>
      <c r="AL67" s="355">
        <v>1</v>
      </c>
      <c r="AM67" s="356">
        <v>25</v>
      </c>
      <c r="AN67" s="357">
        <v>83</v>
      </c>
      <c r="AO67" s="349">
        <v>15.8</v>
      </c>
      <c r="AP67" s="370">
        <f t="shared" si="33"/>
        <v>66</v>
      </c>
      <c r="AQ67" s="16" t="b">
        <f t="shared" si="34"/>
        <v>0</v>
      </c>
      <c r="AR67" s="16" t="b">
        <f t="shared" si="35"/>
        <v>0</v>
      </c>
      <c r="AS67" s="16">
        <f t="shared" si="36"/>
        <v>66</v>
      </c>
      <c r="AT67" s="16">
        <f t="shared" si="37"/>
        <v>66</v>
      </c>
      <c r="AU67" s="16" t="b">
        <f t="shared" si="38"/>
        <v>0</v>
      </c>
      <c r="BA67" s="61">
        <v>22</v>
      </c>
      <c r="BB67" s="157">
        <v>180</v>
      </c>
      <c r="BC67" s="158">
        <v>0.15</v>
      </c>
      <c r="BD67" s="213">
        <v>0.18</v>
      </c>
      <c r="BH67" s="235" t="s">
        <v>45</v>
      </c>
      <c r="BI67" s="236">
        <f>ROUND((((C9+0.3-(IF(D22&gt;0,D22,C22)))/2+(BL6*0.5))*60)/(0.8*C30),0)</f>
        <v>2</v>
      </c>
      <c r="BJ67" s="234"/>
      <c r="BK67" s="18"/>
      <c r="BO67" s="7"/>
      <c r="BP67" s="7"/>
      <c r="BQ67" s="7"/>
      <c r="BR67" s="7"/>
      <c r="BS67" s="7"/>
      <c r="BV67" s="8"/>
      <c r="BY67" s="23" t="str">
        <f t="shared" si="11"/>
        <v/>
      </c>
      <c r="DN67" s="375"/>
      <c r="DP67" s="375"/>
      <c r="DR67" s="375"/>
      <c r="DT67" s="375"/>
      <c r="DV67" s="375"/>
      <c r="DX67" s="375"/>
      <c r="EB67" s="375"/>
      <c r="ED67" s="375"/>
      <c r="FW67" s="26"/>
    </row>
    <row r="68" spans="9:260" ht="15.95" customHeight="1">
      <c r="I68" s="5" t="str">
        <f t="shared" ref="I68:I79" si="39">LOOKUP(H$27,J$2:L$2,J68:L68)</f>
        <v>d = cutter diameter (mm)</v>
      </c>
      <c r="J68" s="5" t="s">
        <v>1376</v>
      </c>
      <c r="K68" s="5" t="s">
        <v>1377</v>
      </c>
      <c r="L68" s="5" t="s">
        <v>1143</v>
      </c>
      <c r="M68" s="5" t="s">
        <v>1069</v>
      </c>
      <c r="N68" s="5" t="s">
        <v>633</v>
      </c>
      <c r="O68" s="5" t="s">
        <v>561</v>
      </c>
      <c r="P68" s="5" t="s">
        <v>354</v>
      </c>
      <c r="Q68" s="5" t="s">
        <v>489</v>
      </c>
      <c r="R68" s="5" t="s">
        <v>109</v>
      </c>
      <c r="S68" s="5" t="s">
        <v>34</v>
      </c>
      <c r="T68" s="5" t="s">
        <v>1132</v>
      </c>
      <c r="U68" s="5" t="s">
        <v>783</v>
      </c>
      <c r="V68" s="5" t="s">
        <v>326</v>
      </c>
      <c r="W68" s="5" t="s">
        <v>746</v>
      </c>
      <c r="X68" s="38" t="s">
        <v>9</v>
      </c>
      <c r="Y68" s="5" t="s">
        <v>1905</v>
      </c>
      <c r="Z68" s="5" t="s">
        <v>1906</v>
      </c>
      <c r="AA68" s="46" t="s">
        <v>1907</v>
      </c>
      <c r="AB68" s="5" t="s">
        <v>340</v>
      </c>
      <c r="AD68" s="131">
        <v>67</v>
      </c>
      <c r="AE68" s="348">
        <v>1</v>
      </c>
      <c r="AF68" s="348">
        <v>1</v>
      </c>
      <c r="AG68" s="348">
        <v>1</v>
      </c>
      <c r="AH68" s="351" t="s">
        <v>1590</v>
      </c>
      <c r="AI68" s="352">
        <v>10</v>
      </c>
      <c r="AJ68" s="353">
        <v>10</v>
      </c>
      <c r="AK68" s="354">
        <v>4</v>
      </c>
      <c r="AL68" s="355">
        <v>1.5</v>
      </c>
      <c r="AM68" s="356">
        <v>22.5</v>
      </c>
      <c r="AN68" s="357">
        <v>83</v>
      </c>
      <c r="AO68" s="349">
        <v>13.6</v>
      </c>
      <c r="AP68" s="370">
        <f t="shared" si="33"/>
        <v>67</v>
      </c>
      <c r="AQ68" s="16" t="b">
        <f t="shared" si="34"/>
        <v>0</v>
      </c>
      <c r="AR68" s="16" t="b">
        <f t="shared" si="35"/>
        <v>0</v>
      </c>
      <c r="AS68" s="16">
        <f t="shared" si="36"/>
        <v>67</v>
      </c>
      <c r="AT68" s="16">
        <f t="shared" si="37"/>
        <v>67</v>
      </c>
      <c r="AU68" s="16" t="b">
        <f t="shared" si="38"/>
        <v>0</v>
      </c>
      <c r="BA68" s="61">
        <v>23</v>
      </c>
      <c r="BB68" s="157">
        <v>140</v>
      </c>
      <c r="BC68" s="158">
        <v>0.15</v>
      </c>
      <c r="BD68" s="213">
        <v>0.18</v>
      </c>
      <c r="BI68" s="16"/>
      <c r="BJ68" s="234"/>
      <c r="BK68" s="18"/>
      <c r="BO68" s="16"/>
      <c r="BQ68" s="14"/>
      <c r="BR68" s="16"/>
      <c r="BS68" s="19"/>
      <c r="BY68" s="23" t="str">
        <f t="shared" ref="BY68:BY69" si="40">CONCATENATE(EO68,EP68,EQ68,ER68,ES68,ET68,EU68,EV68,EW68,EX68,EY68,EZ68,FA68,FB68)</f>
        <v/>
      </c>
      <c r="DN68" s="375"/>
      <c r="DP68" s="375"/>
      <c r="DR68" s="375"/>
      <c r="DT68" s="375"/>
      <c r="DV68" s="375"/>
      <c r="DX68" s="375"/>
      <c r="EB68" s="375"/>
      <c r="ED68" s="375"/>
      <c r="FW68" s="15"/>
    </row>
    <row r="69" spans="9:260" ht="15.95" customHeight="1">
      <c r="I69" s="5" t="str">
        <f t="shared" si="39"/>
        <v>l = length of cutting edge (mm)</v>
      </c>
      <c r="J69" s="5" t="s">
        <v>1405</v>
      </c>
      <c r="K69" s="5" t="s">
        <v>137</v>
      </c>
      <c r="L69" s="5" t="s">
        <v>1147</v>
      </c>
      <c r="M69" s="5" t="s">
        <v>237</v>
      </c>
      <c r="N69" s="5" t="s">
        <v>712</v>
      </c>
      <c r="O69" s="5" t="s">
        <v>562</v>
      </c>
      <c r="P69" s="5" t="s">
        <v>355</v>
      </c>
      <c r="Q69" s="5" t="s">
        <v>491</v>
      </c>
      <c r="R69" s="5" t="s">
        <v>110</v>
      </c>
      <c r="S69" s="5" t="s">
        <v>35</v>
      </c>
      <c r="T69" s="5" t="s">
        <v>1133</v>
      </c>
      <c r="U69" s="5" t="s">
        <v>784</v>
      </c>
      <c r="V69" s="5" t="s">
        <v>290</v>
      </c>
      <c r="W69" s="5" t="s">
        <v>1362</v>
      </c>
      <c r="X69" s="38" t="s">
        <v>10</v>
      </c>
      <c r="Y69" s="5" t="s">
        <v>1908</v>
      </c>
      <c r="Z69" s="5" t="s">
        <v>1909</v>
      </c>
      <c r="AA69" s="46" t="s">
        <v>1910</v>
      </c>
      <c r="AB69" s="5" t="s">
        <v>341</v>
      </c>
      <c r="AD69" s="131">
        <v>68</v>
      </c>
      <c r="AE69" s="348">
        <v>1</v>
      </c>
      <c r="AF69" s="348">
        <v>1</v>
      </c>
      <c r="AG69" s="348">
        <v>1</v>
      </c>
      <c r="AH69" s="351" t="s">
        <v>1591</v>
      </c>
      <c r="AI69" s="352">
        <v>10</v>
      </c>
      <c r="AJ69" s="353">
        <v>10</v>
      </c>
      <c r="AK69" s="354">
        <v>4</v>
      </c>
      <c r="AL69" s="355">
        <v>1</v>
      </c>
      <c r="AM69" s="356">
        <v>22</v>
      </c>
      <c r="AN69" s="357">
        <v>83</v>
      </c>
      <c r="AO69" s="349">
        <v>13.8</v>
      </c>
      <c r="AP69" s="370">
        <f t="shared" si="33"/>
        <v>68</v>
      </c>
      <c r="AQ69" s="16" t="b">
        <f t="shared" si="34"/>
        <v>0</v>
      </c>
      <c r="AR69" s="16" t="b">
        <f t="shared" si="35"/>
        <v>0</v>
      </c>
      <c r="AS69" s="16">
        <f t="shared" si="36"/>
        <v>68</v>
      </c>
      <c r="AT69" s="16">
        <f t="shared" si="37"/>
        <v>68</v>
      </c>
      <c r="AU69" s="16" t="b">
        <f t="shared" si="38"/>
        <v>0</v>
      </c>
      <c r="BA69" s="61">
        <v>24</v>
      </c>
      <c r="BB69" s="157">
        <v>65</v>
      </c>
      <c r="BC69" s="158">
        <v>0.13</v>
      </c>
      <c r="BD69" s="213">
        <v>0.16</v>
      </c>
      <c r="BH69" s="235" t="s">
        <v>46</v>
      </c>
      <c r="BI69" s="236">
        <f>ROUND(BP65*60/HX9-((C11+C12+BL6/4)*60/5000),0)</f>
        <v>2</v>
      </c>
      <c r="BJ69" s="18"/>
      <c r="BK69" s="18"/>
      <c r="BO69" s="16"/>
      <c r="BQ69" s="14"/>
      <c r="BR69" s="16"/>
      <c r="BS69" s="19"/>
      <c r="BV69" s="8">
        <v>23</v>
      </c>
      <c r="BW69" s="54" t="str">
        <f>LOOKUP(BT$54,BX$2:EM$2,BX69:EM69)</f>
        <v/>
      </c>
      <c r="BY69" s="23" t="str">
        <f t="shared" si="40"/>
        <v/>
      </c>
      <c r="CB69" s="23" t="str">
        <f>CA51</f>
        <v>M30</v>
      </c>
      <c r="CD69" s="23" t="str">
        <f>BZ42</f>
        <v>G00 G40 X0. Y-3.375</v>
      </c>
      <c r="CN69" s="23" t="str">
        <f>$CF$45</f>
        <v>G90 G49 G00 Z200. M5</v>
      </c>
      <c r="CP69" s="23" t="str">
        <f>$CF$39</f>
        <v>G03 X-4.063 Y3.375 Z0.313 R3,433</v>
      </c>
      <c r="CR69" s="375" t="str">
        <f>$CH$42</f>
        <v>G03 X0. Y0. Z1.25 I-4.063 J0.</v>
      </c>
      <c r="CT69" s="375" t="str">
        <f>$CH$42</f>
        <v>G03 X0. Y0. Z1.25 I-4.063 J0.</v>
      </c>
      <c r="CV69" s="375" t="str">
        <f>$CH$42</f>
        <v>G03 X0. Y0. Z1.25 I-4.063 J0.</v>
      </c>
      <c r="CX69" s="375" t="str">
        <f>$CH$42</f>
        <v>G03 X0. Y0. Z1.25 I-4.063 J0.</v>
      </c>
      <c r="CZ69" s="375" t="str">
        <f>$CH$42</f>
        <v>G03 X0. Y0. Z1.25 I-4.063 J0.</v>
      </c>
      <c r="DB69" s="375" t="str">
        <f>$CF$36</f>
        <v>G03 X0. Y0. Z1.25 I-4.063 J0. F80</v>
      </c>
      <c r="DD69" s="23" t="str">
        <f>$CF$33</f>
        <v>G03 X4.063 Y3.375 Z0.313 R3,433</v>
      </c>
      <c r="DN69" s="23" t="str">
        <f>$DF$45</f>
        <v>G90 G49 G00 Z200. M5</v>
      </c>
      <c r="DP69" s="23" t="str">
        <f>$DF$39</f>
        <v>G02 X-4.063 Y-3.375 Z-0.313 R3,433</v>
      </c>
      <c r="DR69" s="375" t="str">
        <f>$DH$42</f>
        <v>G02 X0. Y0. Z-1.25 I-4.063 J0.</v>
      </c>
      <c r="DT69" s="375" t="str">
        <f>$DH$42</f>
        <v>G02 X0. Y0. Z-1.25 I-4.063 J0.</v>
      </c>
      <c r="DV69" s="375" t="str">
        <f>$DH$42</f>
        <v>G02 X0. Y0. Z-1.25 I-4.063 J0.</v>
      </c>
      <c r="DX69" s="375" t="str">
        <f>$DH$42</f>
        <v>G02 X0. Y0. Z-1.25 I-4.063 J0.</v>
      </c>
      <c r="DZ69" s="375" t="str">
        <f>$DH$42</f>
        <v>G02 X0. Y0. Z-1.25 I-4.063 J0.</v>
      </c>
      <c r="EB69" s="375" t="str">
        <f>$DF$36</f>
        <v>G02 X0. Y0. Z-1.25 I-4.063 J0. F80</v>
      </c>
      <c r="ED69" s="23" t="str">
        <f>$DF$33</f>
        <v>G02 X4.063 Y-3.375 Z-0.313 R3,433</v>
      </c>
      <c r="EE69" s="23" t="str">
        <f>$DE$30</f>
        <v>M30</v>
      </c>
      <c r="EF69" s="23" t="str">
        <f>$DF$30</f>
        <v>G91 G42 D10 X0. Y3,375 F40</v>
      </c>
      <c r="EH69" s="23" t="str">
        <f>EG42</f>
        <v>M30</v>
      </c>
      <c r="EL69" s="23" t="str">
        <f>EH63</f>
        <v>G00 Z18.937</v>
      </c>
      <c r="FW69" s="15"/>
    </row>
    <row r="70" spans="9:260" ht="15.95" customHeight="1">
      <c r="I70" s="5" t="str">
        <f t="shared" si="39"/>
        <v>z = number of flutes</v>
      </c>
      <c r="J70" s="5" t="s">
        <v>1303</v>
      </c>
      <c r="K70" s="5" t="s">
        <v>1302</v>
      </c>
      <c r="L70" s="5" t="s">
        <v>1151</v>
      </c>
      <c r="M70" s="5" t="s">
        <v>238</v>
      </c>
      <c r="N70" s="5" t="s">
        <v>719</v>
      </c>
      <c r="O70" s="5" t="s">
        <v>563</v>
      </c>
      <c r="P70" s="5" t="s">
        <v>1071</v>
      </c>
      <c r="Q70" s="5" t="s">
        <v>492</v>
      </c>
      <c r="R70" s="5" t="s">
        <v>111</v>
      </c>
      <c r="S70" s="5" t="s">
        <v>36</v>
      </c>
      <c r="T70" s="5" t="s">
        <v>482</v>
      </c>
      <c r="U70" s="5" t="s">
        <v>785</v>
      </c>
      <c r="V70" s="5" t="s">
        <v>291</v>
      </c>
      <c r="W70" s="5" t="s">
        <v>768</v>
      </c>
      <c r="X70" s="38" t="s">
        <v>11</v>
      </c>
      <c r="Y70" s="5" t="s">
        <v>1911</v>
      </c>
      <c r="Z70" s="5" t="s">
        <v>1912</v>
      </c>
      <c r="AA70" s="46" t="s">
        <v>1913</v>
      </c>
      <c r="AB70" s="5" t="s">
        <v>342</v>
      </c>
      <c r="AD70" s="131">
        <v>69</v>
      </c>
      <c r="AE70" s="348">
        <v>1</v>
      </c>
      <c r="AF70" s="348">
        <v>1</v>
      </c>
      <c r="AG70" s="348">
        <v>1</v>
      </c>
      <c r="AH70" s="351" t="s">
        <v>1592</v>
      </c>
      <c r="AI70" s="352">
        <v>10</v>
      </c>
      <c r="AJ70" s="353">
        <v>9.5</v>
      </c>
      <c r="AK70" s="354">
        <v>4</v>
      </c>
      <c r="AL70" s="355">
        <v>1.5</v>
      </c>
      <c r="AM70" s="356">
        <v>19.5</v>
      </c>
      <c r="AN70" s="357">
        <v>72</v>
      </c>
      <c r="AO70" s="349">
        <v>11.6</v>
      </c>
      <c r="AP70" s="370">
        <f t="shared" si="33"/>
        <v>69</v>
      </c>
      <c r="AQ70" s="16" t="b">
        <f t="shared" si="34"/>
        <v>0</v>
      </c>
      <c r="AR70" s="16" t="b">
        <f t="shared" si="35"/>
        <v>0</v>
      </c>
      <c r="AS70" s="16">
        <f t="shared" si="36"/>
        <v>69</v>
      </c>
      <c r="AT70" s="16">
        <f t="shared" si="37"/>
        <v>69</v>
      </c>
      <c r="AU70" s="16" t="b">
        <f t="shared" si="38"/>
        <v>0</v>
      </c>
      <c r="BA70" s="61">
        <v>25</v>
      </c>
      <c r="BB70" s="157">
        <v>200</v>
      </c>
      <c r="BC70" s="225">
        <v>0.17</v>
      </c>
      <c r="BD70" s="226">
        <v>0.13</v>
      </c>
      <c r="BJ70" s="18"/>
      <c r="BK70" s="18"/>
      <c r="BO70" s="16"/>
      <c r="BP70" s="182"/>
      <c r="BQ70" s="14"/>
      <c r="BR70" s="16"/>
      <c r="BS70" s="19"/>
      <c r="DR70" s="375"/>
      <c r="DT70" s="375"/>
      <c r="DV70" s="375"/>
      <c r="DX70" s="375"/>
      <c r="DZ70" s="375"/>
      <c r="ED70" s="375"/>
      <c r="EF70" s="375"/>
      <c r="EO70" s="24"/>
      <c r="EP70" s="24"/>
      <c r="EQ70" s="24"/>
      <c r="ER70" s="24"/>
      <c r="ES70" s="24"/>
      <c r="ET70" s="24"/>
      <c r="EU70" s="24"/>
      <c r="EV70" s="24"/>
      <c r="EW70" s="24"/>
      <c r="EX70" s="24"/>
      <c r="EY70" s="24"/>
      <c r="EZ70" s="25"/>
      <c r="FA70" s="25"/>
      <c r="FB70" s="25"/>
      <c r="FD70" s="25"/>
      <c r="FE70" s="25"/>
      <c r="FF70" s="25"/>
      <c r="FG70" s="25"/>
      <c r="FH70" s="25"/>
      <c r="FI70" s="25"/>
      <c r="FJ70" s="25"/>
      <c r="FK70" s="25"/>
      <c r="FL70" s="25"/>
      <c r="FM70" s="25"/>
      <c r="FN70" s="25"/>
      <c r="FO70" s="24"/>
      <c r="FP70" s="24"/>
      <c r="FQ70" s="24"/>
      <c r="FS70" s="203"/>
      <c r="FT70" s="203"/>
      <c r="FU70" s="203"/>
      <c r="FV70" s="203"/>
      <c r="FX70" s="24"/>
      <c r="FY70" s="24"/>
      <c r="FZ70" s="24"/>
      <c r="GA70" s="24"/>
      <c r="GC70" s="15"/>
      <c r="GD70" s="15"/>
      <c r="GE70" s="15"/>
      <c r="GF70" s="15"/>
      <c r="GH70" s="15"/>
      <c r="GI70" s="15"/>
      <c r="GJ70" s="15"/>
      <c r="GK70" s="15"/>
      <c r="GL70" s="15"/>
      <c r="GM70" s="15"/>
      <c r="GN70" s="15"/>
      <c r="GO70" s="15"/>
      <c r="GP70" s="15"/>
      <c r="GQ70" s="15"/>
      <c r="GR70" s="15"/>
      <c r="GS70" s="15"/>
      <c r="GT70" s="15"/>
      <c r="GV70" s="15"/>
      <c r="GW70" s="15"/>
      <c r="GX70" s="15"/>
      <c r="GY70" s="15"/>
      <c r="GZ70" s="15"/>
      <c r="HA70" s="15"/>
      <c r="HB70" s="15"/>
      <c r="HC70" s="15"/>
      <c r="HD70" s="15"/>
      <c r="HE70" s="15"/>
      <c r="HF70" s="15"/>
      <c r="HG70" s="15"/>
      <c r="HH70" s="15"/>
      <c r="HJ70" s="24"/>
      <c r="HK70" s="24"/>
      <c r="HL70" s="24"/>
      <c r="HM70" s="24"/>
      <c r="HN70" s="24"/>
      <c r="HO70" s="24"/>
      <c r="HP70" s="24"/>
      <c r="HQ70" s="24"/>
      <c r="HS70" s="24"/>
      <c r="HT70" s="24"/>
      <c r="HU70" s="24"/>
      <c r="HV70" s="24"/>
      <c r="HW70" s="24"/>
      <c r="HX70" s="24"/>
      <c r="HY70" s="24"/>
      <c r="HZ70" s="24"/>
      <c r="IA70" s="25"/>
      <c r="IB70" s="422"/>
      <c r="IC70" s="422"/>
      <c r="ID70" s="422"/>
      <c r="IE70" s="422"/>
      <c r="IF70" s="422"/>
      <c r="IH70" s="25"/>
      <c r="II70" s="25"/>
      <c r="IJ70" s="25"/>
      <c r="IK70" s="25"/>
      <c r="IM70" s="25"/>
      <c r="IN70" s="25"/>
      <c r="IO70" s="25"/>
      <c r="IP70" s="25"/>
      <c r="IQ70" s="25"/>
      <c r="IR70" s="25"/>
      <c r="IS70" s="25"/>
      <c r="IT70" s="25"/>
      <c r="IU70" s="25"/>
      <c r="IV70" s="25"/>
      <c r="IW70" s="25"/>
      <c r="IX70" s="24"/>
      <c r="IY70" s="24"/>
      <c r="IZ70" s="24"/>
    </row>
    <row r="71" spans="9:260" ht="15.95" customHeight="1">
      <c r="I71" s="5" t="str">
        <f t="shared" si="39"/>
        <v>V = cutting speed (m/min)</v>
      </c>
      <c r="J71" s="5" t="s">
        <v>751</v>
      </c>
      <c r="K71" s="5" t="s">
        <v>157</v>
      </c>
      <c r="L71" s="5" t="s">
        <v>1155</v>
      </c>
      <c r="M71" s="5" t="s">
        <v>239</v>
      </c>
      <c r="N71" s="5" t="s">
        <v>1363</v>
      </c>
      <c r="O71" s="5" t="s">
        <v>564</v>
      </c>
      <c r="P71" s="5" t="s">
        <v>1074</v>
      </c>
      <c r="Q71" s="5" t="s">
        <v>493</v>
      </c>
      <c r="R71" s="5" t="s">
        <v>112</v>
      </c>
      <c r="S71" s="5" t="s">
        <v>37</v>
      </c>
      <c r="T71" s="5" t="s">
        <v>483</v>
      </c>
      <c r="U71" s="5" t="s">
        <v>540</v>
      </c>
      <c r="V71" s="5" t="s">
        <v>292</v>
      </c>
      <c r="W71" s="5" t="s">
        <v>1364</v>
      </c>
      <c r="X71" s="38" t="s">
        <v>12</v>
      </c>
      <c r="Y71" s="5" t="s">
        <v>1914</v>
      </c>
      <c r="Z71" s="5" t="s">
        <v>1915</v>
      </c>
      <c r="AA71" s="46" t="s">
        <v>1916</v>
      </c>
      <c r="AB71" s="5" t="s">
        <v>343</v>
      </c>
      <c r="AD71" s="131">
        <v>70</v>
      </c>
      <c r="AE71" s="348">
        <v>1</v>
      </c>
      <c r="AF71" s="348">
        <v>1</v>
      </c>
      <c r="AG71" s="348">
        <v>1</v>
      </c>
      <c r="AH71" s="351" t="s">
        <v>1593</v>
      </c>
      <c r="AI71" s="352">
        <v>10</v>
      </c>
      <c r="AJ71" s="353">
        <v>9.5</v>
      </c>
      <c r="AK71" s="354">
        <v>4</v>
      </c>
      <c r="AL71" s="355">
        <v>1.25</v>
      </c>
      <c r="AM71" s="356">
        <v>18.75</v>
      </c>
      <c r="AN71" s="357">
        <v>72</v>
      </c>
      <c r="AO71" s="349">
        <v>11.8</v>
      </c>
      <c r="AP71" s="370">
        <f t="shared" si="33"/>
        <v>70</v>
      </c>
      <c r="AQ71" s="16" t="b">
        <f t="shared" si="34"/>
        <v>0</v>
      </c>
      <c r="AR71" s="16">
        <f t="shared" si="35"/>
        <v>70</v>
      </c>
      <c r="AS71" s="16">
        <f t="shared" si="36"/>
        <v>70</v>
      </c>
      <c r="AT71" s="16">
        <f t="shared" si="37"/>
        <v>70</v>
      </c>
      <c r="AU71" s="16" t="b">
        <f t="shared" si="38"/>
        <v>0</v>
      </c>
      <c r="BA71" s="61">
        <v>26</v>
      </c>
      <c r="BB71" s="157">
        <v>170</v>
      </c>
      <c r="BC71" s="225">
        <v>0.16</v>
      </c>
      <c r="BD71" s="226">
        <v>0.22</v>
      </c>
      <c r="BJ71" s="18"/>
      <c r="BK71" s="18"/>
      <c r="BO71" s="16"/>
      <c r="BQ71" s="16"/>
      <c r="BR71" s="16"/>
      <c r="BS71" s="16"/>
      <c r="DR71" s="375"/>
      <c r="DT71" s="375"/>
      <c r="DV71" s="375"/>
      <c r="DX71" s="375"/>
      <c r="DZ71" s="375"/>
      <c r="ED71" s="375"/>
      <c r="EF71" s="375"/>
      <c r="EN71" s="25"/>
      <c r="EO71" s="22" t="s">
        <v>1966</v>
      </c>
      <c r="EP71" s="16"/>
      <c r="EQ71" s="16"/>
      <c r="ER71" s="16"/>
      <c r="ES71" s="16"/>
      <c r="ET71" s="16"/>
      <c r="FD71" s="22" t="s">
        <v>1973</v>
      </c>
      <c r="GH71" s="22" t="s">
        <v>1975</v>
      </c>
      <c r="GV71" s="22" t="s">
        <v>1978</v>
      </c>
      <c r="HI71" s="25"/>
      <c r="HJ71" s="22" t="s">
        <v>1979</v>
      </c>
      <c r="HK71" s="16"/>
      <c r="HL71" s="16"/>
      <c r="HM71" s="16"/>
      <c r="HN71" s="16"/>
      <c r="HO71" s="16"/>
      <c r="HR71" s="25"/>
      <c r="HS71" s="179" t="s">
        <v>1983</v>
      </c>
      <c r="HT71" s="16"/>
      <c r="HU71" s="16"/>
      <c r="HV71" s="16"/>
      <c r="HW71" s="16"/>
      <c r="HX71" s="16"/>
      <c r="IH71" s="22" t="s">
        <v>1988</v>
      </c>
      <c r="IM71" s="22" t="s">
        <v>1990</v>
      </c>
    </row>
    <row r="72" spans="9:260" ht="15.95" customHeight="1">
      <c r="I72" s="5" t="str">
        <f t="shared" si="39"/>
        <v>Fz = feed/tooth (mm/tooth)</v>
      </c>
      <c r="J72" s="5" t="s">
        <v>1423</v>
      </c>
      <c r="K72" s="5" t="s">
        <v>748</v>
      </c>
      <c r="L72" s="5" t="s">
        <v>1159</v>
      </c>
      <c r="M72" s="5" t="s">
        <v>240</v>
      </c>
      <c r="N72" s="5" t="s">
        <v>1434</v>
      </c>
      <c r="O72" s="5" t="s">
        <v>565</v>
      </c>
      <c r="P72" s="5" t="s">
        <v>1075</v>
      </c>
      <c r="Q72" s="5" t="s">
        <v>494</v>
      </c>
      <c r="R72" s="5" t="s">
        <v>113</v>
      </c>
      <c r="S72" s="5" t="s">
        <v>38</v>
      </c>
      <c r="T72" s="5" t="s">
        <v>432</v>
      </c>
      <c r="U72" s="5" t="s">
        <v>197</v>
      </c>
      <c r="V72" s="5" t="s">
        <v>293</v>
      </c>
      <c r="W72" s="5" t="s">
        <v>1365</v>
      </c>
      <c r="X72" s="38" t="s">
        <v>13</v>
      </c>
      <c r="Y72" s="5" t="s">
        <v>1917</v>
      </c>
      <c r="Z72" s="5" t="s">
        <v>1918</v>
      </c>
      <c r="AA72" s="46" t="s">
        <v>1919</v>
      </c>
      <c r="AB72" s="5" t="s">
        <v>1114</v>
      </c>
      <c r="AD72" s="131">
        <v>71</v>
      </c>
      <c r="AE72" s="348">
        <v>1</v>
      </c>
      <c r="AF72" s="348">
        <v>1</v>
      </c>
      <c r="AG72" s="348">
        <v>1</v>
      </c>
      <c r="AH72" s="351" t="s">
        <v>1594</v>
      </c>
      <c r="AI72" s="352">
        <v>10</v>
      </c>
      <c r="AJ72" s="353">
        <v>9.5</v>
      </c>
      <c r="AK72" s="354">
        <v>4</v>
      </c>
      <c r="AL72" s="355">
        <v>1</v>
      </c>
      <c r="AM72" s="356">
        <v>19</v>
      </c>
      <c r="AN72" s="357">
        <v>72</v>
      </c>
      <c r="AO72" s="349">
        <v>11.8</v>
      </c>
      <c r="AP72" s="370">
        <f t="shared" si="33"/>
        <v>71</v>
      </c>
      <c r="AQ72" s="16" t="b">
        <f t="shared" si="34"/>
        <v>0</v>
      </c>
      <c r="AR72" s="16" t="b">
        <f t="shared" si="35"/>
        <v>0</v>
      </c>
      <c r="AS72" s="16">
        <f t="shared" si="36"/>
        <v>71</v>
      </c>
      <c r="AT72" s="16">
        <f t="shared" si="37"/>
        <v>71</v>
      </c>
      <c r="AU72" s="16" t="b">
        <f t="shared" si="38"/>
        <v>0</v>
      </c>
      <c r="BA72" s="61">
        <v>27</v>
      </c>
      <c r="BB72" s="157">
        <v>150</v>
      </c>
      <c r="BC72" s="225">
        <v>0.15</v>
      </c>
      <c r="BD72" s="226">
        <v>0.2</v>
      </c>
      <c r="BJ72" s="18"/>
      <c r="BK72" s="18"/>
      <c r="BP72"/>
      <c r="BV72" s="8">
        <v>24</v>
      </c>
      <c r="BW72" s="54">
        <f>LOOKUP(BT$54,BX$2:EM$2,BX72:EM72)</f>
        <v>0</v>
      </c>
      <c r="CD72" s="23" t="str">
        <f>CC42</f>
        <v>G00 Z2.687</v>
      </c>
      <c r="CN72" s="23" t="str">
        <f>$CF$48</f>
        <v>M30</v>
      </c>
      <c r="CP72" s="23" t="str">
        <f>$CF$42</f>
        <v>G00 G40 X0. Y-3.375</v>
      </c>
      <c r="CR72" s="375" t="str">
        <f>$CH$42</f>
        <v>G03 X0. Y0. Z1.25 I-4.063 J0.</v>
      </c>
      <c r="CT72" s="375" t="str">
        <f>$CH$42</f>
        <v>G03 X0. Y0. Z1.25 I-4.063 J0.</v>
      </c>
      <c r="CV72" s="375" t="str">
        <f>$CH$42</f>
        <v>G03 X0. Y0. Z1.25 I-4.063 J0.</v>
      </c>
      <c r="CX72" s="375" t="str">
        <f>$CH$42</f>
        <v>G03 X0. Y0. Z1.25 I-4.063 J0.</v>
      </c>
      <c r="CZ72" s="375" t="str">
        <f>$CH$42</f>
        <v>G03 X0. Y0. Z1.25 I-4.063 J0.</v>
      </c>
      <c r="DB72" s="375" t="str">
        <f>$CH$42</f>
        <v>G03 X0. Y0. Z1.25 I-4.063 J0.</v>
      </c>
      <c r="DD72" s="375" t="str">
        <f>$CF$36</f>
        <v>G03 X0. Y0. Z1.25 I-4.063 J0. F80</v>
      </c>
      <c r="DE72" s="375"/>
      <c r="DF72" s="375"/>
      <c r="DG72" s="375"/>
      <c r="DH72" s="375"/>
      <c r="DI72" s="375"/>
      <c r="DJ72" s="375"/>
      <c r="DK72" s="375"/>
      <c r="DL72" s="375"/>
      <c r="DM72" s="375"/>
      <c r="DN72" s="23" t="str">
        <f>$DF$48</f>
        <v>M30</v>
      </c>
      <c r="DO72" s="375"/>
      <c r="DP72" s="23" t="str">
        <f>$DF$42</f>
        <v>G00 G40 X0. Y3.375</v>
      </c>
      <c r="DQ72" s="375"/>
      <c r="DR72" s="375" t="str">
        <f>$DH$42</f>
        <v>G02 X0. Y0. Z-1.25 I-4.063 J0.</v>
      </c>
      <c r="DS72" s="375"/>
      <c r="DT72" s="375" t="str">
        <f>$DH$42</f>
        <v>G02 X0. Y0. Z-1.25 I-4.063 J0.</v>
      </c>
      <c r="DU72" s="375"/>
      <c r="DV72" s="375" t="str">
        <f>$DH$42</f>
        <v>G02 X0. Y0. Z-1.25 I-4.063 J0.</v>
      </c>
      <c r="DW72" s="375"/>
      <c r="DX72" s="375" t="str">
        <f>$DH$42</f>
        <v>G02 X0. Y0. Z-1.25 I-4.063 J0.</v>
      </c>
      <c r="DY72" s="375"/>
      <c r="DZ72" s="375" t="str">
        <f>$DH$42</f>
        <v>G02 X0. Y0. Z-1.25 I-4.063 J0.</v>
      </c>
      <c r="EA72" s="375"/>
      <c r="EB72" s="375" t="str">
        <f>$DH$42</f>
        <v>G02 X0. Y0. Z-1.25 I-4.063 J0.</v>
      </c>
      <c r="EC72" s="375"/>
      <c r="ED72" s="375" t="str">
        <f>$DF$36</f>
        <v>G02 X0. Y0. Z-1.25 I-4.063 J0. F80</v>
      </c>
      <c r="EE72" s="375"/>
      <c r="EF72" s="23" t="str">
        <f>$DF$33</f>
        <v>G02 X4.063 Y-3.375 Z-0.313 R3,433</v>
      </c>
      <c r="EL72" s="23" t="str">
        <f>EH66</f>
        <v>G90 G49 G00 Z200. M5</v>
      </c>
      <c r="EN72" s="26"/>
      <c r="EO72" s="22"/>
      <c r="EP72" s="14"/>
      <c r="EQ72" s="14"/>
      <c r="ER72" s="14"/>
      <c r="ES72" s="14"/>
      <c r="ET72" s="14"/>
      <c r="FC72" s="26"/>
      <c r="FD72" s="22"/>
      <c r="FE72" s="14"/>
      <c r="FF72" s="14"/>
      <c r="FG72" s="14"/>
      <c r="FH72" s="14"/>
      <c r="FI72" s="14"/>
      <c r="FS72" s="52"/>
      <c r="FX72" s="22"/>
      <c r="GC72" s="22"/>
      <c r="GH72" s="22"/>
      <c r="HI72" s="26"/>
      <c r="HJ72" s="22" t="s">
        <v>1980</v>
      </c>
      <c r="HK72" s="14"/>
      <c r="HL72" s="14"/>
      <c r="HM72" s="14"/>
      <c r="HN72" s="14"/>
      <c r="HO72" s="14"/>
      <c r="HR72" s="26"/>
      <c r="HS72" s="22"/>
      <c r="HT72" s="14"/>
      <c r="HU72" s="14"/>
      <c r="HV72" s="14"/>
      <c r="HW72" s="14"/>
      <c r="HX72" s="14"/>
      <c r="IG72" s="26"/>
      <c r="IH72" s="22"/>
      <c r="II72" s="14"/>
      <c r="IJ72" s="14"/>
      <c r="IK72" s="14"/>
    </row>
    <row r="73" spans="9:260" ht="15.95" customHeight="1">
      <c r="I73" s="5" t="str">
        <f t="shared" si="39"/>
        <v>Number of passes, radial (max 2)</v>
      </c>
      <c r="J73" s="5" t="s">
        <v>1326</v>
      </c>
      <c r="K73" s="5" t="s">
        <v>1163</v>
      </c>
      <c r="L73" s="40" t="s">
        <v>1164</v>
      </c>
      <c r="M73" s="5" t="s">
        <v>241</v>
      </c>
      <c r="N73" s="5" t="s">
        <v>1359</v>
      </c>
      <c r="O73" s="5" t="s">
        <v>566</v>
      </c>
      <c r="P73" s="5" t="s">
        <v>43</v>
      </c>
      <c r="Q73" s="5" t="s">
        <v>495</v>
      </c>
      <c r="R73" s="5" t="s">
        <v>114</v>
      </c>
      <c r="S73" s="5" t="s">
        <v>50</v>
      </c>
      <c r="T73" s="5" t="s">
        <v>473</v>
      </c>
      <c r="U73" s="5" t="s">
        <v>198</v>
      </c>
      <c r="V73" s="5" t="s">
        <v>294</v>
      </c>
      <c r="W73" s="5" t="s">
        <v>790</v>
      </c>
      <c r="X73" s="38" t="s">
        <v>465</v>
      </c>
      <c r="Y73" s="43" t="s">
        <v>1920</v>
      </c>
      <c r="Z73" s="39" t="s">
        <v>1921</v>
      </c>
      <c r="AA73" s="417" t="s">
        <v>1922</v>
      </c>
      <c r="AB73" s="5" t="s">
        <v>1115</v>
      </c>
      <c r="AD73" s="131">
        <v>72</v>
      </c>
      <c r="AE73" s="365">
        <v>1</v>
      </c>
      <c r="AF73" s="365">
        <v>1</v>
      </c>
      <c r="AG73" s="365">
        <v>1</v>
      </c>
      <c r="AH73" s="366" t="s">
        <v>1595</v>
      </c>
      <c r="AI73" s="353">
        <v>8</v>
      </c>
      <c r="AJ73" s="353">
        <v>8</v>
      </c>
      <c r="AK73" s="361">
        <v>4</v>
      </c>
      <c r="AL73" s="359">
        <v>1</v>
      </c>
      <c r="AM73" s="349">
        <v>16</v>
      </c>
      <c r="AN73" s="360">
        <v>63</v>
      </c>
      <c r="AO73" s="349">
        <v>9.8000000000000007</v>
      </c>
      <c r="AP73" s="370">
        <f t="shared" si="33"/>
        <v>72</v>
      </c>
      <c r="AQ73" s="16" t="b">
        <f t="shared" si="34"/>
        <v>0</v>
      </c>
      <c r="AR73" s="16" t="b">
        <f t="shared" si="35"/>
        <v>0</v>
      </c>
      <c r="AS73" s="16" t="b">
        <f t="shared" si="36"/>
        <v>0</v>
      </c>
      <c r="AT73" s="16">
        <f t="shared" si="37"/>
        <v>72</v>
      </c>
      <c r="AU73" s="16" t="b">
        <f t="shared" si="38"/>
        <v>0</v>
      </c>
      <c r="BA73" s="61">
        <v>28</v>
      </c>
      <c r="BB73" s="157">
        <v>120</v>
      </c>
      <c r="BC73" s="225">
        <v>0.13</v>
      </c>
      <c r="BD73" s="226">
        <v>0.18</v>
      </c>
      <c r="BJ73" s="18"/>
      <c r="BK73" s="18"/>
      <c r="BP73"/>
      <c r="BV73" s="8"/>
      <c r="DP73" s="375"/>
      <c r="DR73" s="375"/>
      <c r="DT73" s="375"/>
      <c r="DV73" s="375"/>
      <c r="DX73" s="375"/>
      <c r="DZ73" s="375"/>
      <c r="EB73" s="375"/>
      <c r="EF73" s="375"/>
      <c r="EN73" s="26">
        <v>1</v>
      </c>
      <c r="EO73" s="14" t="s">
        <v>446</v>
      </c>
      <c r="EP73" s="14" t="s">
        <v>175</v>
      </c>
      <c r="EQ73" s="14" t="s">
        <v>176</v>
      </c>
      <c r="ER73" s="14" t="s">
        <v>1350</v>
      </c>
      <c r="ES73" s="14" t="s">
        <v>1351</v>
      </c>
      <c r="ET73" s="8"/>
      <c r="EU73" s="14"/>
      <c r="EV73" s="14"/>
      <c r="EW73" s="14"/>
      <c r="EX73" s="14"/>
      <c r="EY73" s="14"/>
      <c r="FC73" s="26"/>
      <c r="FE73" s="6"/>
      <c r="FF73" s="6"/>
      <c r="FG73" s="14"/>
      <c r="FH73" s="14"/>
      <c r="FI73" s="14"/>
      <c r="HI73" s="26"/>
      <c r="HJ73" s="16"/>
      <c r="HK73" s="6"/>
      <c r="HL73" s="6"/>
      <c r="HM73" s="14"/>
      <c r="HN73" s="14"/>
      <c r="HO73" s="14"/>
      <c r="HR73" s="26">
        <v>1</v>
      </c>
      <c r="HS73" s="14" t="s">
        <v>446</v>
      </c>
      <c r="HT73" s="14" t="s">
        <v>175</v>
      </c>
      <c r="HU73" s="14" t="s">
        <v>176</v>
      </c>
      <c r="HV73" s="14" t="s">
        <v>1350</v>
      </c>
      <c r="HW73" s="14" t="s">
        <v>1985</v>
      </c>
      <c r="HX73" s="8"/>
      <c r="HY73" s="14"/>
      <c r="HZ73" s="14"/>
      <c r="IG73" s="26"/>
      <c r="II73" s="6"/>
      <c r="IJ73" s="6"/>
      <c r="IK73" s="14"/>
      <c r="IL73" s="26">
        <v>1</v>
      </c>
      <c r="IM73" s="14" t="s">
        <v>446</v>
      </c>
      <c r="IN73" s="14" t="s">
        <v>175</v>
      </c>
      <c r="IO73" s="14" t="s">
        <v>176</v>
      </c>
      <c r="IP73" s="14" t="s">
        <v>1350</v>
      </c>
      <c r="IQ73" s="14" t="s">
        <v>1351</v>
      </c>
    </row>
    <row r="74" spans="9:260" ht="15.95" customHeight="1">
      <c r="I74" s="5" t="str">
        <f t="shared" si="39"/>
        <v>Number of passes, axial</v>
      </c>
      <c r="J74" s="5" t="s">
        <v>679</v>
      </c>
      <c r="K74" s="5" t="s">
        <v>257</v>
      </c>
      <c r="L74" s="40" t="s">
        <v>1168</v>
      </c>
      <c r="M74" s="5" t="s">
        <v>242</v>
      </c>
      <c r="N74" s="5" t="s">
        <v>1360</v>
      </c>
      <c r="O74" s="5" t="s">
        <v>567</v>
      </c>
      <c r="P74" s="5" t="s">
        <v>48</v>
      </c>
      <c r="Q74" s="5" t="s">
        <v>496</v>
      </c>
      <c r="R74" s="5" t="s">
        <v>115</v>
      </c>
      <c r="S74" s="5" t="s">
        <v>51</v>
      </c>
      <c r="T74" s="5" t="s">
        <v>474</v>
      </c>
      <c r="U74" s="5" t="s">
        <v>199</v>
      </c>
      <c r="V74" s="5" t="s">
        <v>314</v>
      </c>
      <c r="W74" s="5" t="s">
        <v>1366</v>
      </c>
      <c r="X74" s="38" t="s">
        <v>466</v>
      </c>
      <c r="Y74" s="43" t="s">
        <v>1923</v>
      </c>
      <c r="Z74" s="39" t="s">
        <v>1924</v>
      </c>
      <c r="AA74" s="417" t="s">
        <v>1925</v>
      </c>
      <c r="AB74" s="5" t="s">
        <v>1096</v>
      </c>
      <c r="AD74" s="131">
        <v>73</v>
      </c>
      <c r="AE74" s="365">
        <v>1</v>
      </c>
      <c r="AF74" s="365">
        <v>1</v>
      </c>
      <c r="AG74" s="365">
        <v>1</v>
      </c>
      <c r="AH74" s="366" t="s">
        <v>1596</v>
      </c>
      <c r="AI74" s="353">
        <v>6</v>
      </c>
      <c r="AJ74" s="353">
        <v>6</v>
      </c>
      <c r="AK74" s="361">
        <v>3</v>
      </c>
      <c r="AL74" s="359">
        <v>1</v>
      </c>
      <c r="AM74" s="349">
        <v>13</v>
      </c>
      <c r="AN74" s="360">
        <v>57</v>
      </c>
      <c r="AO74" s="349">
        <v>7.8</v>
      </c>
      <c r="AP74" s="370">
        <f t="shared" si="33"/>
        <v>73</v>
      </c>
      <c r="AQ74" s="16">
        <f t="shared" si="34"/>
        <v>73</v>
      </c>
      <c r="AR74" s="16" t="b">
        <f t="shared" si="35"/>
        <v>0</v>
      </c>
      <c r="AS74" s="16" t="b">
        <f t="shared" si="36"/>
        <v>0</v>
      </c>
      <c r="AT74" s="16">
        <f t="shared" si="37"/>
        <v>73</v>
      </c>
      <c r="AU74" s="16" t="b">
        <f t="shared" si="38"/>
        <v>0</v>
      </c>
      <c r="BA74" s="61">
        <v>29</v>
      </c>
      <c r="BB74" s="157">
        <v>20</v>
      </c>
      <c r="BC74" s="158">
        <v>0.03</v>
      </c>
      <c r="BD74" s="213">
        <v>0.05</v>
      </c>
      <c r="BJ74" s="18"/>
      <c r="BK74" s="18"/>
      <c r="BP74"/>
      <c r="DP74" s="375"/>
      <c r="DR74" s="375"/>
      <c r="DT74" s="375"/>
      <c r="DV74" s="375"/>
      <c r="DX74" s="375"/>
      <c r="DZ74" s="375"/>
      <c r="EB74" s="375"/>
      <c r="EF74" s="375"/>
      <c r="EN74" s="26"/>
      <c r="EO74" s="14"/>
      <c r="EP74" s="14"/>
      <c r="EQ74" s="14"/>
      <c r="ER74" s="14"/>
      <c r="ES74" s="14"/>
      <c r="ET74" s="8"/>
      <c r="EU74" s="14"/>
      <c r="EV74" s="14"/>
      <c r="EW74" s="14"/>
      <c r="EX74" s="14"/>
      <c r="EY74" s="14"/>
      <c r="FC74" s="26"/>
      <c r="FD74" s="14"/>
      <c r="FE74" s="14"/>
      <c r="FF74" s="14"/>
      <c r="FG74" s="14"/>
      <c r="FH74" s="14"/>
      <c r="FI74" s="14"/>
      <c r="HI74" s="26"/>
      <c r="HJ74" s="14"/>
      <c r="HK74" s="14"/>
      <c r="HL74" s="14"/>
      <c r="HM74" s="14"/>
      <c r="HN74" s="14"/>
      <c r="HO74" s="14"/>
      <c r="HR74" s="26"/>
      <c r="HS74" s="14"/>
      <c r="HT74" s="14"/>
      <c r="HU74" s="237">
        <f>$HV$4</f>
        <v>3</v>
      </c>
      <c r="HV74" s="237"/>
      <c r="HW74" s="14"/>
      <c r="HX74" s="8"/>
      <c r="HY74" s="14"/>
      <c r="HZ74" s="14"/>
      <c r="IG74" s="26"/>
      <c r="IH74" s="14"/>
      <c r="II74" s="14"/>
      <c r="IJ74" s="14"/>
      <c r="IK74" s="14"/>
    </row>
    <row r="75" spans="9:260" ht="15.95" customHeight="1">
      <c r="I75" s="5" t="str">
        <f t="shared" si="39"/>
        <v>N = spindle speed (rpm)</v>
      </c>
      <c r="J75" s="5" t="s">
        <v>1400</v>
      </c>
      <c r="K75" s="5" t="s">
        <v>769</v>
      </c>
      <c r="L75" s="5" t="s">
        <v>1172</v>
      </c>
      <c r="M75" s="5" t="s">
        <v>243</v>
      </c>
      <c r="N75" s="5" t="s">
        <v>1435</v>
      </c>
      <c r="O75" s="5" t="s">
        <v>568</v>
      </c>
      <c r="P75" s="5" t="s">
        <v>49</v>
      </c>
      <c r="Q75" s="5" t="s">
        <v>162</v>
      </c>
      <c r="R75" s="5" t="s">
        <v>116</v>
      </c>
      <c r="S75" s="5" t="s">
        <v>52</v>
      </c>
      <c r="T75" s="5" t="s">
        <v>475</v>
      </c>
      <c r="U75" s="5" t="s">
        <v>200</v>
      </c>
      <c r="V75" s="5" t="s">
        <v>295</v>
      </c>
      <c r="W75" s="5" t="s">
        <v>1367</v>
      </c>
      <c r="X75" s="38" t="s">
        <v>467</v>
      </c>
      <c r="Y75" s="5" t="s">
        <v>1926</v>
      </c>
      <c r="Z75" s="5" t="s">
        <v>1927</v>
      </c>
      <c r="AA75" s="46" t="s">
        <v>1928</v>
      </c>
      <c r="AB75" s="5" t="s">
        <v>1097</v>
      </c>
      <c r="AD75" s="131">
        <v>74</v>
      </c>
      <c r="AE75" s="365">
        <v>1</v>
      </c>
      <c r="AF75" s="365">
        <v>1</v>
      </c>
      <c r="AG75" s="365">
        <v>1</v>
      </c>
      <c r="AH75" s="366" t="s">
        <v>1597</v>
      </c>
      <c r="AI75" s="353">
        <v>6</v>
      </c>
      <c r="AJ75" s="353">
        <v>6</v>
      </c>
      <c r="AK75" s="361">
        <v>3</v>
      </c>
      <c r="AL75" s="359">
        <v>0.75</v>
      </c>
      <c r="AM75" s="349">
        <v>12.75</v>
      </c>
      <c r="AN75" s="360">
        <v>57</v>
      </c>
      <c r="AO75" s="349">
        <v>7.8</v>
      </c>
      <c r="AP75" s="370">
        <f t="shared" si="33"/>
        <v>74</v>
      </c>
      <c r="AQ75" s="16">
        <f t="shared" si="34"/>
        <v>74</v>
      </c>
      <c r="AR75" s="16" t="b">
        <f t="shared" si="35"/>
        <v>0</v>
      </c>
      <c r="AS75" s="16" t="b">
        <f t="shared" si="36"/>
        <v>0</v>
      </c>
      <c r="AT75" s="16">
        <f t="shared" si="37"/>
        <v>74</v>
      </c>
      <c r="AU75" s="16" t="b">
        <f t="shared" si="38"/>
        <v>0</v>
      </c>
      <c r="BA75" s="214">
        <v>30</v>
      </c>
      <c r="BB75" s="215">
        <v>180</v>
      </c>
      <c r="BC75" s="227">
        <v>0.13</v>
      </c>
      <c r="BD75" s="228">
        <v>0.16</v>
      </c>
      <c r="BJ75" s="18"/>
      <c r="BK75" s="18"/>
      <c r="BP75"/>
      <c r="BV75" s="8">
        <v>25</v>
      </c>
      <c r="BW75" s="54">
        <f>LOOKUP(BT$54,BX$2:EM$2,BX75:EM75)</f>
        <v>0</v>
      </c>
      <c r="CD75" s="23" t="str">
        <f>CC45</f>
        <v>G90 G49 G00 Z200. M5</v>
      </c>
      <c r="CP75" s="23" t="str">
        <f>$CF$45</f>
        <v>G90 G49 G00 Z200. M5</v>
      </c>
      <c r="CR75" s="23" t="str">
        <f>$CF$39</f>
        <v>G03 X-4.063 Y3.375 Z0.313 R3,433</v>
      </c>
      <c r="CT75" s="375" t="str">
        <f>$CH$42</f>
        <v>G03 X0. Y0. Z1.25 I-4.063 J0.</v>
      </c>
      <c r="CV75" s="375" t="str">
        <f>$CH$42</f>
        <v>G03 X0. Y0. Z1.25 I-4.063 J0.</v>
      </c>
      <c r="CX75" s="375" t="str">
        <f>$CH$42</f>
        <v>G03 X0. Y0. Z1.25 I-4.063 J0.</v>
      </c>
      <c r="CZ75" s="375" t="str">
        <f>$CH$42</f>
        <v>G03 X0. Y0. Z1.25 I-4.063 J0.</v>
      </c>
      <c r="DB75" s="375" t="str">
        <f>$CH$42</f>
        <v>G03 X0. Y0. Z1.25 I-4.063 J0.</v>
      </c>
      <c r="DD75" s="375" t="str">
        <f>$CH$42</f>
        <v>G03 X0. Y0. Z1.25 I-4.063 J0.</v>
      </c>
      <c r="DE75" s="375"/>
      <c r="DF75" s="375"/>
      <c r="DG75" s="375"/>
      <c r="DH75" s="375"/>
      <c r="DI75" s="375"/>
      <c r="DJ75" s="375"/>
      <c r="DK75" s="375"/>
      <c r="DL75" s="375"/>
      <c r="DM75" s="375"/>
      <c r="DN75" s="375"/>
      <c r="DO75" s="375"/>
      <c r="DP75" s="23" t="str">
        <f>$DF$45</f>
        <v>G90 G49 G00 Z200. M5</v>
      </c>
      <c r="DQ75" s="375"/>
      <c r="DR75" s="23" t="str">
        <f>$DF$39</f>
        <v>G02 X-4.063 Y-3.375 Z-0.313 R3,433</v>
      </c>
      <c r="DS75" s="375"/>
      <c r="DT75" s="375" t="str">
        <f>$DH$42</f>
        <v>G02 X0. Y0. Z-1.25 I-4.063 J0.</v>
      </c>
      <c r="DU75" s="375"/>
      <c r="DV75" s="375" t="str">
        <f>$DH$42</f>
        <v>G02 X0. Y0. Z-1.25 I-4.063 J0.</v>
      </c>
      <c r="DW75" s="375"/>
      <c r="DX75" s="375" t="str">
        <f>$DH$42</f>
        <v>G02 X0. Y0. Z-1.25 I-4.063 J0.</v>
      </c>
      <c r="DY75" s="375"/>
      <c r="DZ75" s="375" t="str">
        <f>$DH$42</f>
        <v>G02 X0. Y0. Z-1.25 I-4.063 J0.</v>
      </c>
      <c r="EA75" s="375"/>
      <c r="EB75" s="375" t="str">
        <f>$DH$42</f>
        <v>G02 X0. Y0. Z-1.25 I-4.063 J0.</v>
      </c>
      <c r="EC75" s="375"/>
      <c r="ED75" s="375" t="str">
        <f>$DH$42</f>
        <v>G02 X0. Y0. Z-1.25 I-4.063 J0.</v>
      </c>
      <c r="EE75" s="375"/>
      <c r="EF75" s="375" t="str">
        <f>$DF$36</f>
        <v>G02 X0. Y0. Z-1.25 I-4.063 J0. F80</v>
      </c>
      <c r="EL75" s="23" t="str">
        <f>EH69</f>
        <v>M30</v>
      </c>
      <c r="EN75" s="26"/>
      <c r="EO75" s="5"/>
      <c r="EP75" s="14"/>
      <c r="EQ75" s="114">
        <f>$C$12</f>
        <v>3</v>
      </c>
      <c r="ER75" s="103">
        <f>INT(EQ75)</f>
        <v>3</v>
      </c>
      <c r="ES75" s="103"/>
      <c r="ET75" s="8"/>
      <c r="EU75" s="14"/>
      <c r="EV75" s="14"/>
      <c r="EW75" s="14"/>
      <c r="EX75" s="14"/>
      <c r="EY75" s="14"/>
      <c r="HI75" s="25"/>
      <c r="HJ75" s="16"/>
      <c r="HK75" s="16"/>
      <c r="HL75" s="16"/>
      <c r="HM75" s="16"/>
      <c r="HN75" s="16"/>
      <c r="HO75" s="16"/>
      <c r="HR75" s="26"/>
      <c r="HS75" s="5"/>
      <c r="HT75" s="14"/>
      <c r="HU75" s="102">
        <f>INT(HU74)</f>
        <v>3</v>
      </c>
      <c r="HV75" s="102"/>
      <c r="HW75" s="114"/>
      <c r="HX75" s="8"/>
      <c r="HY75" s="14"/>
      <c r="HZ75" s="14"/>
      <c r="IL75" s="26"/>
      <c r="IM75" s="22"/>
      <c r="IN75" s="8"/>
      <c r="IO75" s="8"/>
      <c r="IP75" s="183">
        <f>$IP$5</f>
        <v>3</v>
      </c>
      <c r="IQ75" s="103">
        <f>INT(IP75)</f>
        <v>3</v>
      </c>
      <c r="IR75" s="8"/>
      <c r="IS75" s="14"/>
      <c r="IT75" s="14"/>
      <c r="IU75" s="14"/>
      <c r="IV75" s="14"/>
      <c r="IW75" s="14"/>
      <c r="IX75" s="16"/>
      <c r="IY75" s="16"/>
      <c r="IZ75" s="16"/>
    </row>
    <row r="76" spans="9:260" ht="15.95" customHeight="1">
      <c r="I76" s="5" t="str">
        <f t="shared" si="39"/>
        <v>FD = feed at thread diameter (mm/min)</v>
      </c>
      <c r="J76" s="5" t="s">
        <v>1412</v>
      </c>
      <c r="K76" s="5" t="s">
        <v>745</v>
      </c>
      <c r="L76" s="5" t="s">
        <v>1176</v>
      </c>
      <c r="M76" s="5" t="s">
        <v>244</v>
      </c>
      <c r="N76" s="5" t="s">
        <v>714</v>
      </c>
      <c r="O76" s="5" t="s">
        <v>569</v>
      </c>
      <c r="P76" s="5" t="s">
        <v>312</v>
      </c>
      <c r="Q76" s="5" t="s">
        <v>163</v>
      </c>
      <c r="R76" s="5" t="s">
        <v>117</v>
      </c>
      <c r="S76" s="5" t="s">
        <v>53</v>
      </c>
      <c r="T76" s="5" t="s">
        <v>18</v>
      </c>
      <c r="U76" s="5" t="s">
        <v>201</v>
      </c>
      <c r="V76" s="5" t="s">
        <v>296</v>
      </c>
      <c r="W76" s="5" t="s">
        <v>755</v>
      </c>
      <c r="X76" s="38" t="s">
        <v>468</v>
      </c>
      <c r="Y76" s="5" t="s">
        <v>1929</v>
      </c>
      <c r="Z76" s="5" t="s">
        <v>1930</v>
      </c>
      <c r="AA76" s="46" t="s">
        <v>1931</v>
      </c>
      <c r="AB76" s="5" t="s">
        <v>1098</v>
      </c>
      <c r="AD76" s="131">
        <v>75</v>
      </c>
      <c r="AE76" s="365">
        <v>1</v>
      </c>
      <c r="AF76" s="365">
        <v>1</v>
      </c>
      <c r="AG76" s="365">
        <v>1</v>
      </c>
      <c r="AH76" s="366" t="s">
        <v>1598</v>
      </c>
      <c r="AI76" s="353">
        <v>16</v>
      </c>
      <c r="AJ76" s="353">
        <v>16</v>
      </c>
      <c r="AK76" s="361">
        <v>5</v>
      </c>
      <c r="AL76" s="359">
        <v>2.5</v>
      </c>
      <c r="AM76" s="349">
        <v>42.5</v>
      </c>
      <c r="AN76" s="360">
        <v>105</v>
      </c>
      <c r="AO76" s="349">
        <v>19.600000000000001</v>
      </c>
      <c r="AP76" s="370">
        <f t="shared" si="33"/>
        <v>75</v>
      </c>
      <c r="AQ76" s="16" t="b">
        <f t="shared" si="34"/>
        <v>0</v>
      </c>
      <c r="AR76" s="16" t="b">
        <f t="shared" si="35"/>
        <v>0</v>
      </c>
      <c r="AS76" s="16">
        <f t="shared" si="36"/>
        <v>75</v>
      </c>
      <c r="AT76" s="16">
        <f t="shared" si="37"/>
        <v>75</v>
      </c>
      <c r="AU76" s="16" t="b">
        <f t="shared" si="38"/>
        <v>0</v>
      </c>
      <c r="BJ76" s="18"/>
      <c r="BK76" s="18"/>
      <c r="BM76" s="35"/>
      <c r="BP76"/>
      <c r="DT76" s="375"/>
      <c r="DV76" s="375"/>
      <c r="DX76" s="375"/>
      <c r="DZ76" s="375"/>
      <c r="EB76" s="375"/>
      <c r="ED76" s="375"/>
      <c r="EN76" s="26">
        <v>2</v>
      </c>
      <c r="EO76" s="418" t="s">
        <v>1967</v>
      </c>
      <c r="EP76" s="14" t="s">
        <v>1968</v>
      </c>
      <c r="EQ76" s="98" t="str">
        <f>SUBSTITUTE(EQ75,",",".")</f>
        <v>3</v>
      </c>
      <c r="ER76" s="14" t="str">
        <f>IF(EQ75=ER75,".","")</f>
        <v>.</v>
      </c>
      <c r="ES76" s="97" t="s">
        <v>1969</v>
      </c>
      <c r="ET76" s="14" t="s">
        <v>179</v>
      </c>
      <c r="EU76" s="97">
        <f>$C$28</f>
        <v>4244</v>
      </c>
      <c r="EV76" s="97"/>
      <c r="EW76" s="14"/>
      <c r="EX76" s="14"/>
      <c r="EY76" s="14"/>
      <c r="FC76" s="26"/>
      <c r="HI76" s="26"/>
      <c r="HJ76" s="16"/>
      <c r="HK76" s="16"/>
      <c r="HL76" s="16"/>
      <c r="HM76" s="16"/>
      <c r="HN76" s="16"/>
      <c r="HO76" s="16"/>
      <c r="HR76" s="26">
        <v>2</v>
      </c>
      <c r="HS76" s="418" t="s">
        <v>1967</v>
      </c>
      <c r="HT76" s="14" t="s">
        <v>1968</v>
      </c>
      <c r="HU76" s="98" t="str">
        <f>SUBSTITUTE(HU74,",",".")</f>
        <v>3</v>
      </c>
      <c r="HV76" s="14" t="str">
        <f>IF(HU74=HU75,".","")</f>
        <v>.</v>
      </c>
      <c r="HW76" s="97" t="s">
        <v>161</v>
      </c>
      <c r="HX76" s="14" t="s">
        <v>179</v>
      </c>
      <c r="HY76" s="97">
        <f>$HZ$6</f>
        <v>4244</v>
      </c>
      <c r="HZ76" s="97"/>
      <c r="IA76" s="14"/>
      <c r="IG76" s="26"/>
      <c r="IL76" s="26">
        <v>2</v>
      </c>
      <c r="IM76" s="418" t="s">
        <v>1967</v>
      </c>
      <c r="IN76" s="6"/>
      <c r="IO76" s="14" t="s">
        <v>1968</v>
      </c>
      <c r="IP76" s="98" t="str">
        <f>SUBSTITUTE(IP75,",",".")</f>
        <v>3</v>
      </c>
      <c r="IQ76" s="14" t="str">
        <f>IF(IP75=IQ75,".","")</f>
        <v>.</v>
      </c>
      <c r="IR76" s="97" t="s">
        <v>1748</v>
      </c>
      <c r="IS76" s="14" t="s">
        <v>179</v>
      </c>
      <c r="IT76" s="97">
        <f>$IT$6</f>
        <v>4244</v>
      </c>
      <c r="IU76" s="14"/>
      <c r="IV76" s="14"/>
      <c r="IW76" s="14"/>
      <c r="IX76" s="14"/>
      <c r="IY76" s="14"/>
      <c r="IZ76" s="14"/>
    </row>
    <row r="77" spans="9:260" ht="15.95" customHeight="1">
      <c r="I77" s="5" t="str">
        <f t="shared" si="39"/>
        <v>Fd = feed in center of mill (mm/min)</v>
      </c>
      <c r="J77" s="5" t="s">
        <v>1421</v>
      </c>
      <c r="K77" s="5" t="s">
        <v>1086</v>
      </c>
      <c r="L77" s="5" t="s">
        <v>1180</v>
      </c>
      <c r="M77" s="5" t="s">
        <v>245</v>
      </c>
      <c r="N77" s="5" t="s">
        <v>767</v>
      </c>
      <c r="O77" s="5" t="s">
        <v>576</v>
      </c>
      <c r="P77" s="5" t="s">
        <v>39</v>
      </c>
      <c r="Q77" s="5" t="s">
        <v>164</v>
      </c>
      <c r="R77" s="5" t="s">
        <v>118</v>
      </c>
      <c r="S77" s="5" t="s">
        <v>54</v>
      </c>
      <c r="T77" s="5" t="s">
        <v>19</v>
      </c>
      <c r="U77" s="5" t="s">
        <v>202</v>
      </c>
      <c r="V77" s="5" t="s">
        <v>297</v>
      </c>
      <c r="W77" s="5" t="s">
        <v>609</v>
      </c>
      <c r="X77" s="38" t="s">
        <v>469</v>
      </c>
      <c r="Y77" s="5" t="s">
        <v>1932</v>
      </c>
      <c r="Z77" s="5" t="s">
        <v>1933</v>
      </c>
      <c r="AA77" s="46" t="s">
        <v>1934</v>
      </c>
      <c r="AB77" s="5" t="s">
        <v>1099</v>
      </c>
      <c r="AD77" s="131">
        <v>76</v>
      </c>
      <c r="AE77" s="365">
        <v>1</v>
      </c>
      <c r="AF77" s="365">
        <v>1</v>
      </c>
      <c r="AG77" s="365">
        <v>1</v>
      </c>
      <c r="AH77" s="366" t="s">
        <v>1599</v>
      </c>
      <c r="AI77" s="353">
        <v>14</v>
      </c>
      <c r="AJ77" s="353">
        <v>14</v>
      </c>
      <c r="AK77" s="361">
        <v>5</v>
      </c>
      <c r="AL77" s="359">
        <v>2.5</v>
      </c>
      <c r="AM77" s="349">
        <v>37.5</v>
      </c>
      <c r="AN77" s="360">
        <v>92</v>
      </c>
      <c r="AO77" s="349">
        <v>17.600000000000001</v>
      </c>
      <c r="AP77" s="370">
        <f t="shared" si="33"/>
        <v>76</v>
      </c>
      <c r="AQ77" s="16" t="b">
        <f t="shared" si="34"/>
        <v>0</v>
      </c>
      <c r="AR77" s="16" t="b">
        <f t="shared" si="35"/>
        <v>0</v>
      </c>
      <c r="AS77" s="16">
        <f t="shared" si="36"/>
        <v>76</v>
      </c>
      <c r="AT77" s="16">
        <f t="shared" si="37"/>
        <v>76</v>
      </c>
      <c r="AU77" s="16" t="b">
        <f t="shared" si="38"/>
        <v>0</v>
      </c>
      <c r="BJ77" s="18"/>
      <c r="BK77" s="18"/>
      <c r="BP77"/>
      <c r="DT77" s="375"/>
      <c r="DV77" s="375"/>
      <c r="DX77" s="375"/>
      <c r="DZ77" s="375"/>
      <c r="EB77" s="375"/>
      <c r="ED77" s="375"/>
      <c r="EN77" s="26"/>
      <c r="EO77" s="14"/>
      <c r="EP77" s="14"/>
      <c r="EQ77" s="103"/>
      <c r="ER77" s="175">
        <f>-$BP$56</f>
        <v>-20.812999999999999</v>
      </c>
      <c r="ES77" s="14"/>
      <c r="ET77" s="14"/>
      <c r="EU77" s="14"/>
      <c r="EV77" s="14"/>
      <c r="EW77" s="14"/>
      <c r="EX77" s="14"/>
      <c r="EY77" s="14"/>
      <c r="FC77" s="26"/>
      <c r="FE77" s="14"/>
      <c r="HI77" s="26"/>
      <c r="HJ77" s="14"/>
      <c r="HK77" s="14"/>
      <c r="HL77" s="103"/>
      <c r="HM77" s="103">
        <f>$HM$7</f>
        <v>-17.5</v>
      </c>
      <c r="HN77" s="14">
        <f>$HN$7</f>
        <v>17.5</v>
      </c>
      <c r="HO77" s="14"/>
      <c r="HP77" s="14"/>
      <c r="HQ77" s="14"/>
      <c r="HR77" s="26"/>
      <c r="HS77" s="14"/>
      <c r="HT77" s="14"/>
      <c r="HU77" s="103"/>
      <c r="HV77" s="175">
        <f>$HV$7</f>
        <v>-22.878</v>
      </c>
      <c r="HW77" s="14"/>
      <c r="HX77" s="14"/>
      <c r="HY77" s="14"/>
      <c r="HZ77" s="14"/>
      <c r="IG77" s="26"/>
      <c r="II77" s="14"/>
      <c r="IL77" s="26"/>
      <c r="IM77" s="14"/>
      <c r="IN77" s="14"/>
      <c r="IO77" s="14"/>
      <c r="IP77" s="244">
        <f>$IP$7</f>
        <v>0.313</v>
      </c>
      <c r="IQ77" s="14"/>
      <c r="IR77" s="14"/>
      <c r="IS77" s="14"/>
      <c r="IT77" s="14"/>
      <c r="IU77" s="14"/>
      <c r="IV77" s="14"/>
      <c r="IW77" s="14"/>
      <c r="IX77" s="14"/>
      <c r="IY77" s="14"/>
      <c r="IZ77" s="14"/>
    </row>
    <row r="78" spans="9:260" ht="15.95" customHeight="1">
      <c r="I78" s="5" t="str">
        <f t="shared" si="39"/>
        <v>T = time to mill the thread (seconds)</v>
      </c>
      <c r="J78" s="5" t="s">
        <v>1422</v>
      </c>
      <c r="K78" s="5" t="s">
        <v>1087</v>
      </c>
      <c r="L78" s="5" t="s">
        <v>1184</v>
      </c>
      <c r="M78" s="5" t="s">
        <v>246</v>
      </c>
      <c r="N78" s="5" t="s">
        <v>597</v>
      </c>
      <c r="O78" s="5" t="s">
        <v>1298</v>
      </c>
      <c r="P78" s="5" t="s">
        <v>40</v>
      </c>
      <c r="Q78" s="5" t="s">
        <v>165</v>
      </c>
      <c r="R78" s="5" t="s">
        <v>433</v>
      </c>
      <c r="S78" s="5" t="s">
        <v>55</v>
      </c>
      <c r="T78" s="5" t="s">
        <v>476</v>
      </c>
      <c r="U78" s="5" t="s">
        <v>1227</v>
      </c>
      <c r="V78" s="5" t="s">
        <v>298</v>
      </c>
      <c r="W78" s="5" t="s">
        <v>1413</v>
      </c>
      <c r="X78" s="38" t="s">
        <v>485</v>
      </c>
      <c r="Y78" s="5" t="s">
        <v>1935</v>
      </c>
      <c r="Z78" s="5" t="s">
        <v>1936</v>
      </c>
      <c r="AA78" s="46" t="s">
        <v>1937</v>
      </c>
      <c r="AB78" s="5" t="s">
        <v>1103</v>
      </c>
      <c r="AD78" s="131">
        <v>77</v>
      </c>
      <c r="AE78" s="365">
        <v>1</v>
      </c>
      <c r="AF78" s="365">
        <v>1</v>
      </c>
      <c r="AG78" s="365">
        <v>1</v>
      </c>
      <c r="AH78" s="366" t="s">
        <v>1600</v>
      </c>
      <c r="AI78" s="353">
        <v>12</v>
      </c>
      <c r="AJ78" s="353">
        <v>12</v>
      </c>
      <c r="AK78" s="361">
        <v>4</v>
      </c>
      <c r="AL78" s="359">
        <v>2</v>
      </c>
      <c r="AM78" s="349">
        <v>34</v>
      </c>
      <c r="AN78" s="360">
        <v>92</v>
      </c>
      <c r="AO78" s="349">
        <v>15.6</v>
      </c>
      <c r="AP78" s="370">
        <f t="shared" si="33"/>
        <v>77</v>
      </c>
      <c r="AQ78" s="16" t="b">
        <f t="shared" si="34"/>
        <v>0</v>
      </c>
      <c r="AR78" s="16" t="b">
        <f t="shared" si="35"/>
        <v>0</v>
      </c>
      <c r="AS78" s="16">
        <f t="shared" si="36"/>
        <v>77</v>
      </c>
      <c r="AT78" s="16">
        <f t="shared" si="37"/>
        <v>77</v>
      </c>
      <c r="AU78" s="16" t="b">
        <f t="shared" si="38"/>
        <v>0</v>
      </c>
      <c r="BJ78" s="18"/>
      <c r="BK78" s="18"/>
      <c r="BV78" s="8">
        <v>26</v>
      </c>
      <c r="BW78" s="54">
        <f>LOOKUP(BT$54,BX$2:EM$2,BX78:EM78)</f>
        <v>0</v>
      </c>
      <c r="CD78" s="23" t="str">
        <f>CC48</f>
        <v>M30</v>
      </c>
      <c r="CP78" s="23" t="str">
        <f>$CF$48</f>
        <v>M30</v>
      </c>
      <c r="CR78" s="23" t="str">
        <f>$CF$42</f>
        <v>G00 G40 X0. Y-3.375</v>
      </c>
      <c r="CT78" s="375" t="str">
        <f>$CH$42</f>
        <v>G03 X0. Y0. Z1.25 I-4.063 J0.</v>
      </c>
      <c r="CV78" s="375" t="str">
        <f>$CH$42</f>
        <v>G03 X0. Y0. Z1.25 I-4.063 J0.</v>
      </c>
      <c r="CX78" s="375" t="str">
        <f>$CH$42</f>
        <v>G03 X0. Y0. Z1.25 I-4.063 J0.</v>
      </c>
      <c r="CZ78" s="375" t="str">
        <f>$CH$42</f>
        <v>G03 X0. Y0. Z1.25 I-4.063 J0.</v>
      </c>
      <c r="DB78" s="375" t="str">
        <f>$CH$42</f>
        <v>G03 X0. Y0. Z1.25 I-4.063 J0.</v>
      </c>
      <c r="DD78" s="375" t="str">
        <f>$CH$42</f>
        <v>G03 X0. Y0. Z1.25 I-4.063 J0.</v>
      </c>
      <c r="DE78" s="375"/>
      <c r="DF78" s="375"/>
      <c r="DG78" s="375"/>
      <c r="DH78" s="375"/>
      <c r="DI78" s="375"/>
      <c r="DJ78" s="375"/>
      <c r="DK78" s="375"/>
      <c r="DL78" s="375"/>
      <c r="DM78" s="375"/>
      <c r="DN78" s="375"/>
      <c r="DO78" s="375"/>
      <c r="DP78" s="23" t="str">
        <f>$DF$48</f>
        <v>M30</v>
      </c>
      <c r="DQ78" s="375"/>
      <c r="DR78" s="23" t="str">
        <f>$DF$42</f>
        <v>G00 G40 X0. Y3.375</v>
      </c>
      <c r="DS78" s="375"/>
      <c r="DT78" s="375" t="str">
        <f>$DH$42</f>
        <v>G02 X0. Y0. Z-1.25 I-4.063 J0.</v>
      </c>
      <c r="DU78" s="375"/>
      <c r="DV78" s="375" t="str">
        <f t="shared" ref="DV78:DV84" si="41">$DH$42</f>
        <v>G02 X0. Y0. Z-1.25 I-4.063 J0.</v>
      </c>
      <c r="DW78" s="375"/>
      <c r="DX78" s="375" t="str">
        <f t="shared" ref="DX78:DX90" si="42">$DH$42</f>
        <v>G02 X0. Y0. Z-1.25 I-4.063 J0.</v>
      </c>
      <c r="DY78" s="375"/>
      <c r="DZ78" s="375" t="str">
        <f t="shared" ref="DZ78:DZ96" si="43">$DH$42</f>
        <v>G02 X0. Y0. Z-1.25 I-4.063 J0.</v>
      </c>
      <c r="EA78" s="375"/>
      <c r="EB78" s="375" t="str">
        <f t="shared" ref="EB78:EB102" si="44">$DH$42</f>
        <v>G02 X0. Y0. Z-1.25 I-4.063 J0.</v>
      </c>
      <c r="EC78" s="375"/>
      <c r="ED78" s="375" t="str">
        <f t="shared" ref="ED78:ED108" si="45">$DH$42</f>
        <v>G02 X0. Y0. Z-1.25 I-4.063 J0.</v>
      </c>
      <c r="EE78" s="375"/>
      <c r="EF78" s="375" t="str">
        <f>$DH$42</f>
        <v>G02 X0. Y0. Z-1.25 I-4.063 J0.</v>
      </c>
      <c r="EQ78" s="104"/>
      <c r="ER78" s="102">
        <f>INT(ER77)</f>
        <v>-21</v>
      </c>
      <c r="FE78" s="14"/>
      <c r="HL78" s="104"/>
      <c r="HM78" s="102">
        <f>INT(HM77)</f>
        <v>-18</v>
      </c>
      <c r="HU78" s="104"/>
      <c r="HV78" s="102">
        <f>INT(HV77)</f>
        <v>-23</v>
      </c>
      <c r="II78" s="14"/>
      <c r="IL78" s="26"/>
      <c r="IM78" s="14"/>
      <c r="IN78" s="14"/>
      <c r="IO78" s="14"/>
      <c r="IP78" s="102">
        <f>INT(IP77)</f>
        <v>0</v>
      </c>
      <c r="IQ78" s="14"/>
      <c r="IR78" s="14"/>
      <c r="IS78" s="14"/>
      <c r="IT78" s="14"/>
      <c r="IU78" s="14"/>
      <c r="IV78" s="14"/>
      <c r="IW78" s="14"/>
      <c r="IX78" s="14"/>
      <c r="IY78" s="14"/>
      <c r="IZ78" s="14"/>
    </row>
    <row r="79" spans="9:260" ht="15.95" customHeight="1">
      <c r="I79" s="5" t="str">
        <f t="shared" si="39"/>
        <v>Fdr = drilling feed(mm/rev.)</v>
      </c>
      <c r="J79" s="191" t="s">
        <v>896</v>
      </c>
      <c r="K79" s="191" t="s">
        <v>895</v>
      </c>
      <c r="L79" s="191" t="s">
        <v>897</v>
      </c>
      <c r="X79" s="38"/>
      <c r="AA79" s="46"/>
      <c r="AD79" s="131">
        <v>78</v>
      </c>
      <c r="AE79" s="365">
        <v>1</v>
      </c>
      <c r="AF79" s="365">
        <v>1</v>
      </c>
      <c r="AG79" s="365">
        <v>1</v>
      </c>
      <c r="AH79" s="366" t="s">
        <v>1601</v>
      </c>
      <c r="AI79" s="353">
        <v>10</v>
      </c>
      <c r="AJ79" s="353">
        <v>10</v>
      </c>
      <c r="AK79" s="361">
        <v>4</v>
      </c>
      <c r="AL79" s="359">
        <v>2</v>
      </c>
      <c r="AM79" s="349">
        <v>30</v>
      </c>
      <c r="AN79" s="360">
        <v>83</v>
      </c>
      <c r="AO79" s="349">
        <v>13.6</v>
      </c>
      <c r="AP79" s="370">
        <f t="shared" si="33"/>
        <v>78</v>
      </c>
      <c r="AQ79" s="16" t="b">
        <f t="shared" si="34"/>
        <v>0</v>
      </c>
      <c r="AR79" s="16" t="b">
        <f t="shared" si="35"/>
        <v>0</v>
      </c>
      <c r="AS79" s="16">
        <f t="shared" si="36"/>
        <v>78</v>
      </c>
      <c r="AT79" s="16">
        <f t="shared" si="37"/>
        <v>78</v>
      </c>
      <c r="AU79" s="16" t="b">
        <f t="shared" si="38"/>
        <v>0</v>
      </c>
      <c r="BJ79" s="18"/>
      <c r="BK79" s="18"/>
      <c r="BV79" s="8"/>
      <c r="DR79" s="375"/>
      <c r="DT79" s="375"/>
      <c r="DV79" s="375"/>
      <c r="DX79" s="375"/>
      <c r="DZ79" s="375"/>
      <c r="EB79" s="375"/>
      <c r="ED79" s="375"/>
      <c r="EF79" s="375"/>
      <c r="EN79" s="26">
        <v>3</v>
      </c>
      <c r="EO79" s="14" t="s">
        <v>180</v>
      </c>
      <c r="EP79" s="14" t="s">
        <v>175</v>
      </c>
      <c r="EQ79" s="14" t="s">
        <v>181</v>
      </c>
      <c r="ER79" s="14" t="str">
        <f>SUBSTITUTE(ER77,",",".")</f>
        <v>-20.813</v>
      </c>
      <c r="ES79" s="14" t="str">
        <f>IF(ER77=ER78,".","")</f>
        <v/>
      </c>
      <c r="ET79" s="14"/>
      <c r="EU79" s="14"/>
      <c r="EV79" s="14"/>
      <c r="EW79" s="14"/>
      <c r="EX79" s="14"/>
      <c r="EY79" s="14"/>
      <c r="FC79" s="26"/>
      <c r="FD79" s="14"/>
      <c r="FE79" s="14"/>
      <c r="FF79" s="14"/>
      <c r="FH79" s="14"/>
      <c r="FI79" s="14"/>
      <c r="HI79" s="26">
        <v>3</v>
      </c>
      <c r="HJ79" s="186" t="s">
        <v>446</v>
      </c>
      <c r="HK79" s="14" t="s">
        <v>175</v>
      </c>
      <c r="HL79" s="14" t="s">
        <v>181</v>
      </c>
      <c r="HM79" s="14" t="str">
        <f>SUBSTITUTE(HM77,",",".")</f>
        <v>-17.5</v>
      </c>
      <c r="HN79" s="14" t="str">
        <f>IF(HM77=HM78,".","")</f>
        <v/>
      </c>
      <c r="HO79" s="14"/>
      <c r="HP79" s="14"/>
      <c r="HQ79" s="14"/>
      <c r="HR79" s="26">
        <v>3</v>
      </c>
      <c r="HS79" s="14" t="s">
        <v>180</v>
      </c>
      <c r="HT79" s="186" t="s">
        <v>445</v>
      </c>
      <c r="HU79" s="14" t="s">
        <v>181</v>
      </c>
      <c r="HV79" s="14" t="str">
        <f>SUBSTITUTE(HV77,",",".")</f>
        <v>-22.878</v>
      </c>
      <c r="HW79" s="10" t="s">
        <v>1986</v>
      </c>
      <c r="HX79" s="185">
        <f>$HX$9</f>
        <v>509</v>
      </c>
      <c r="HY79" s="14"/>
      <c r="HZ79" s="14"/>
      <c r="IG79" s="26"/>
      <c r="IH79" s="14"/>
      <c r="II79" s="14"/>
      <c r="IJ79" s="14"/>
      <c r="IL79" s="26">
        <v>3</v>
      </c>
      <c r="IM79" s="14" t="s">
        <v>1753</v>
      </c>
      <c r="IN79" s="14" t="s">
        <v>175</v>
      </c>
      <c r="IO79" s="14" t="s">
        <v>181</v>
      </c>
      <c r="IP79" s="14" t="str">
        <f>SUBSTITUTE(IP77,",",".")</f>
        <v>0.313</v>
      </c>
      <c r="IQ79" s="14" t="str">
        <f>IF(IP77=IP78,".","")</f>
        <v/>
      </c>
      <c r="IR79" s="14"/>
      <c r="IS79" s="14"/>
      <c r="IT79" s="14"/>
      <c r="IU79" s="14"/>
      <c r="IV79" s="14"/>
      <c r="IW79" s="14"/>
      <c r="IX79" s="14"/>
      <c r="IY79" s="14"/>
      <c r="IZ79" s="14"/>
    </row>
    <row r="80" spans="9:260" ht="15.95" customHeight="1">
      <c r="X80" s="38"/>
      <c r="AA80" s="46"/>
      <c r="AD80" s="131">
        <v>79</v>
      </c>
      <c r="AE80" s="365">
        <v>1</v>
      </c>
      <c r="AF80" s="365">
        <v>1</v>
      </c>
      <c r="AG80" s="365">
        <v>1</v>
      </c>
      <c r="AH80" s="366" t="s">
        <v>1602</v>
      </c>
      <c r="AI80" s="353">
        <v>10</v>
      </c>
      <c r="AJ80" s="353">
        <v>9.5</v>
      </c>
      <c r="AK80" s="361">
        <v>4</v>
      </c>
      <c r="AL80" s="359">
        <v>1.75</v>
      </c>
      <c r="AM80" s="349">
        <v>26.25</v>
      </c>
      <c r="AN80" s="360">
        <v>80</v>
      </c>
      <c r="AO80" s="349">
        <v>11.6</v>
      </c>
      <c r="AP80" s="370">
        <f t="shared" si="33"/>
        <v>79</v>
      </c>
      <c r="AQ80" s="16" t="b">
        <f t="shared" si="34"/>
        <v>0</v>
      </c>
      <c r="AR80" s="16" t="b">
        <f t="shared" si="35"/>
        <v>0</v>
      </c>
      <c r="AS80" s="16">
        <f t="shared" si="36"/>
        <v>79</v>
      </c>
      <c r="AT80" s="16">
        <f t="shared" si="37"/>
        <v>79</v>
      </c>
      <c r="AU80" s="16" t="b">
        <f t="shared" si="38"/>
        <v>0</v>
      </c>
      <c r="BJ80" s="18"/>
      <c r="BK80" s="18"/>
      <c r="DR80" s="375"/>
      <c r="DV80" s="375"/>
      <c r="DX80" s="375"/>
      <c r="DZ80" s="375"/>
      <c r="EB80" s="375"/>
      <c r="ED80" s="375"/>
      <c r="EF80" s="375"/>
      <c r="EN80" s="26"/>
      <c r="EO80" s="14"/>
      <c r="EP80" s="14"/>
      <c r="EQ80" s="14"/>
      <c r="ER80" s="14"/>
      <c r="ES80" s="14"/>
      <c r="ET80" s="14"/>
      <c r="EU80" s="14"/>
      <c r="EV80" s="14"/>
      <c r="EW80" s="14"/>
      <c r="EX80" s="14"/>
      <c r="EY80" s="14"/>
      <c r="FC80" s="26"/>
      <c r="FD80" s="14"/>
      <c r="FE80" s="14"/>
      <c r="FF80" s="14"/>
      <c r="FG80" s="14"/>
      <c r="FH80" s="14"/>
      <c r="FI80" s="14"/>
      <c r="HI80" s="26"/>
      <c r="HJ80" s="14"/>
      <c r="HK80" s="14"/>
      <c r="HL80" s="14"/>
      <c r="HM80" s="101">
        <f>$HM$10</f>
        <v>-1.7749999999999999</v>
      </c>
      <c r="HN80" s="244"/>
      <c r="HO80" s="14"/>
      <c r="HP80" s="14"/>
      <c r="HQ80" s="14"/>
      <c r="HR80" s="26"/>
      <c r="HS80" s="14"/>
      <c r="HT80" s="14"/>
      <c r="HU80" s="14"/>
      <c r="HV80" s="101">
        <f>$HV$10</f>
        <v>0.41699999999999998</v>
      </c>
      <c r="HW80" s="14"/>
      <c r="HX80" s="14"/>
      <c r="HY80" s="14"/>
      <c r="HZ80" s="14"/>
      <c r="IG80" s="26"/>
      <c r="IH80" s="14"/>
      <c r="II80" s="14"/>
      <c r="IJ80" s="14"/>
      <c r="IK80" s="14"/>
      <c r="IL80" s="26"/>
      <c r="IM80" s="14"/>
      <c r="IN80" s="14"/>
      <c r="IO80" s="14"/>
      <c r="IP80" s="14"/>
      <c r="IQ80" s="14"/>
      <c r="IR80" s="14"/>
      <c r="IS80" s="14"/>
      <c r="IT80" s="14"/>
      <c r="IU80" s="14"/>
      <c r="IV80" s="14"/>
      <c r="IW80" s="14"/>
      <c r="IX80" s="16"/>
      <c r="IY80" s="16"/>
      <c r="IZ80" s="16"/>
    </row>
    <row r="81" spans="8:260" ht="15.95" customHeight="1">
      <c r="X81" s="38"/>
      <c r="AA81" s="46"/>
      <c r="AD81" s="131">
        <v>80</v>
      </c>
      <c r="AE81" s="365">
        <v>1</v>
      </c>
      <c r="AF81" s="365">
        <v>1</v>
      </c>
      <c r="AG81" s="365">
        <v>1</v>
      </c>
      <c r="AH81" s="366" t="s">
        <v>1603</v>
      </c>
      <c r="AI81" s="353">
        <v>8</v>
      </c>
      <c r="AJ81" s="353">
        <v>7.5</v>
      </c>
      <c r="AK81" s="361">
        <v>4</v>
      </c>
      <c r="AL81" s="359">
        <v>1.5</v>
      </c>
      <c r="AM81" s="349">
        <v>21</v>
      </c>
      <c r="AN81" s="360">
        <v>72</v>
      </c>
      <c r="AO81" s="349">
        <v>9.6</v>
      </c>
      <c r="AP81" s="370">
        <f t="shared" si="33"/>
        <v>80</v>
      </c>
      <c r="AQ81" s="16" t="b">
        <f t="shared" si="34"/>
        <v>0</v>
      </c>
      <c r="AR81" s="16" t="b">
        <f t="shared" si="35"/>
        <v>0</v>
      </c>
      <c r="AS81" s="16">
        <f t="shared" si="36"/>
        <v>80</v>
      </c>
      <c r="AT81" s="16">
        <f t="shared" si="37"/>
        <v>80</v>
      </c>
      <c r="AU81" s="16" t="b">
        <f t="shared" si="38"/>
        <v>0</v>
      </c>
      <c r="BJ81" s="18"/>
      <c r="BK81" s="18"/>
      <c r="BV81" s="8">
        <v>27</v>
      </c>
      <c r="BW81" s="54">
        <f>LOOKUP(BT$54,BX$2:EM$2,BX81:EM81)</f>
        <v>0</v>
      </c>
      <c r="CR81" s="23" t="str">
        <f>$CF$45</f>
        <v>G90 G49 G00 Z200. M5</v>
      </c>
      <c r="CT81" s="23" t="str">
        <f>$CF$39</f>
        <v>G03 X-4.063 Y3.375 Z0.313 R3,433</v>
      </c>
      <c r="CV81" s="375" t="str">
        <f>$CH$42</f>
        <v>G03 X0. Y0. Z1.25 I-4.063 J0.</v>
      </c>
      <c r="CX81" s="375" t="str">
        <f>$CH$42</f>
        <v>G03 X0. Y0. Z1.25 I-4.063 J0.</v>
      </c>
      <c r="CZ81" s="375" t="str">
        <f>$CH$42</f>
        <v>G03 X0. Y0. Z1.25 I-4.063 J0.</v>
      </c>
      <c r="DB81" s="375" t="str">
        <f>$CH$42</f>
        <v>G03 X0. Y0. Z1.25 I-4.063 J0.</v>
      </c>
      <c r="DD81" s="375" t="str">
        <f>$CH$42</f>
        <v>G03 X0. Y0. Z1.25 I-4.063 J0.</v>
      </c>
      <c r="DE81" s="375"/>
      <c r="DF81" s="375"/>
      <c r="DG81" s="375"/>
      <c r="DH81" s="375"/>
      <c r="DI81" s="375"/>
      <c r="DJ81" s="375"/>
      <c r="DK81" s="375"/>
      <c r="DL81" s="375"/>
      <c r="DM81" s="375"/>
      <c r="DN81" s="375"/>
      <c r="DO81" s="375"/>
      <c r="DP81" s="375"/>
      <c r="DQ81" s="375"/>
      <c r="DR81" s="23" t="str">
        <f>$DF$45</f>
        <v>G90 G49 G00 Z200. M5</v>
      </c>
      <c r="DS81" s="375"/>
      <c r="DT81" s="23" t="str">
        <f>$DF$39</f>
        <v>G02 X-4.063 Y-3.375 Z-0.313 R3,433</v>
      </c>
      <c r="DU81" s="375"/>
      <c r="DV81" s="375" t="str">
        <f t="shared" si="41"/>
        <v>G02 X0. Y0. Z-1.25 I-4.063 J0.</v>
      </c>
      <c r="DW81" s="375"/>
      <c r="DX81" s="375" t="str">
        <f t="shared" si="42"/>
        <v>G02 X0. Y0. Z-1.25 I-4.063 J0.</v>
      </c>
      <c r="DY81" s="375"/>
      <c r="DZ81" s="375" t="str">
        <f t="shared" si="43"/>
        <v>G02 X0. Y0. Z-1.25 I-4.063 J0.</v>
      </c>
      <c r="EA81" s="375"/>
      <c r="EB81" s="375" t="str">
        <f t="shared" si="44"/>
        <v>G02 X0. Y0. Z-1.25 I-4.063 J0.</v>
      </c>
      <c r="EC81" s="375"/>
      <c r="ED81" s="375" t="str">
        <f t="shared" si="45"/>
        <v>G02 X0. Y0. Z-1.25 I-4.063 J0.</v>
      </c>
      <c r="EE81" s="375"/>
      <c r="EF81" s="375" t="str">
        <f t="shared" ref="EF81:EF114" si="46">$DH$42</f>
        <v>G02 X0. Y0. Z-1.25 I-4.063 J0.</v>
      </c>
      <c r="ER81" s="16"/>
      <c r="ET81" s="16"/>
      <c r="FE81" s="14"/>
      <c r="FG81" s="14"/>
      <c r="HM81" s="174">
        <f>INT(HM80)</f>
        <v>-2</v>
      </c>
      <c r="HO81" s="16"/>
      <c r="HV81" s="174">
        <f>INT(HV80)</f>
        <v>0</v>
      </c>
      <c r="HX81" s="16"/>
      <c r="II81" s="14"/>
      <c r="IK81" s="14"/>
      <c r="IL81" s="24"/>
      <c r="IM81"/>
      <c r="IN81"/>
      <c r="IO81"/>
      <c r="IQ81"/>
      <c r="IS81"/>
      <c r="IT81"/>
      <c r="IU81"/>
      <c r="IV81"/>
      <c r="IW81"/>
      <c r="IX81" s="16"/>
      <c r="IY81" s="16"/>
      <c r="IZ81" s="16"/>
    </row>
    <row r="82" spans="8:260" ht="15.95" customHeight="1">
      <c r="H82" s="14">
        <v>1</v>
      </c>
      <c r="I82" s="5" t="str">
        <f t="shared" ref="I82:I88" si="47">LOOKUP(H$27,J$2:L$2,J82:L82)</f>
        <v>CNC program for Fanuc</v>
      </c>
      <c r="J82" s="23" t="s">
        <v>142</v>
      </c>
      <c r="K82" s="23" t="s">
        <v>142</v>
      </c>
      <c r="L82" s="40" t="s">
        <v>1997</v>
      </c>
      <c r="M82" s="23" t="s">
        <v>247</v>
      </c>
      <c r="N82" s="23" t="s">
        <v>747</v>
      </c>
      <c r="O82" s="5" t="s">
        <v>1299</v>
      </c>
      <c r="P82" s="23" t="s">
        <v>41</v>
      </c>
      <c r="Q82" s="23" t="s">
        <v>166</v>
      </c>
      <c r="R82" s="5" t="s">
        <v>434</v>
      </c>
      <c r="S82" s="23" t="s">
        <v>56</v>
      </c>
      <c r="T82" s="5" t="s">
        <v>477</v>
      </c>
      <c r="U82" s="5" t="s">
        <v>1228</v>
      </c>
      <c r="V82" s="5" t="s">
        <v>1230</v>
      </c>
      <c r="W82" s="23" t="s">
        <v>626</v>
      </c>
      <c r="X82" s="38" t="s">
        <v>387</v>
      </c>
      <c r="Y82" s="43" t="s">
        <v>1938</v>
      </c>
      <c r="Z82" s="23" t="s">
        <v>1939</v>
      </c>
      <c r="AA82" s="46" t="s">
        <v>1940</v>
      </c>
      <c r="AB82" s="23" t="s">
        <v>1104</v>
      </c>
      <c r="AD82" s="131">
        <v>81</v>
      </c>
      <c r="AE82" s="365">
        <v>1</v>
      </c>
      <c r="AF82" s="365">
        <v>1</v>
      </c>
      <c r="AG82" s="365">
        <v>1</v>
      </c>
      <c r="AH82" s="366" t="s">
        <v>1604</v>
      </c>
      <c r="AI82" s="353">
        <v>6</v>
      </c>
      <c r="AJ82" s="353">
        <v>6</v>
      </c>
      <c r="AK82" s="361">
        <v>3</v>
      </c>
      <c r="AL82" s="359">
        <v>1.25</v>
      </c>
      <c r="AM82" s="349">
        <v>17.5</v>
      </c>
      <c r="AN82" s="360">
        <v>65</v>
      </c>
      <c r="AO82" s="349">
        <v>7.8</v>
      </c>
      <c r="AP82" s="370">
        <f t="shared" si="33"/>
        <v>81</v>
      </c>
      <c r="AQ82" s="16">
        <f t="shared" si="34"/>
        <v>81</v>
      </c>
      <c r="AR82" s="16">
        <f t="shared" si="35"/>
        <v>81</v>
      </c>
      <c r="AS82" s="16">
        <f t="shared" si="36"/>
        <v>81</v>
      </c>
      <c r="AT82" s="16">
        <f t="shared" si="37"/>
        <v>81</v>
      </c>
      <c r="AU82" s="16">
        <f t="shared" si="38"/>
        <v>81</v>
      </c>
      <c r="BJ82" s="18"/>
      <c r="BK82" s="18"/>
      <c r="DV82" s="375"/>
      <c r="DX82" s="375"/>
      <c r="DZ82" s="375"/>
      <c r="EB82" s="375"/>
      <c r="ED82" s="375"/>
      <c r="EF82" s="375"/>
      <c r="EN82" s="26">
        <v>4</v>
      </c>
      <c r="EO82" s="14" t="s">
        <v>1353</v>
      </c>
      <c r="EP82" s="418" t="s">
        <v>644</v>
      </c>
      <c r="EQ82" s="14" t="s">
        <v>1350</v>
      </c>
      <c r="ER82" s="14" t="s">
        <v>1352</v>
      </c>
      <c r="ES82" s="10">
        <f>$BP$55</f>
        <v>-3.375</v>
      </c>
      <c r="ET82" s="186" t="s">
        <v>1354</v>
      </c>
      <c r="EU82" s="14">
        <f>ROUND($C$30*0.5,0)</f>
        <v>40</v>
      </c>
      <c r="EV82" s="6"/>
      <c r="EW82" s="14"/>
      <c r="EX82" s="14"/>
      <c r="EY82" s="14"/>
      <c r="FC82" s="26">
        <v>4</v>
      </c>
      <c r="FD82" s="14" t="s">
        <v>1353</v>
      </c>
      <c r="FE82" s="418" t="s">
        <v>1755</v>
      </c>
      <c r="FF82" s="14" t="s">
        <v>1350</v>
      </c>
      <c r="FG82" s="14" t="s">
        <v>1352</v>
      </c>
      <c r="FH82" s="10">
        <f>$BP$55</f>
        <v>-3.375</v>
      </c>
      <c r="FI82" s="14" t="s">
        <v>1354</v>
      </c>
      <c r="FJ82" s="14">
        <f>ROUND($BM$51*0.5,0)</f>
        <v>35</v>
      </c>
      <c r="FK82" s="6"/>
      <c r="FL82" s="14"/>
      <c r="FM82" s="14"/>
      <c r="FN82" s="14"/>
      <c r="FO82" s="16"/>
      <c r="FP82" s="16"/>
      <c r="FQ82" s="16"/>
      <c r="FR82" s="26"/>
      <c r="HI82" s="26">
        <v>4</v>
      </c>
      <c r="HJ82" s="14" t="s">
        <v>180</v>
      </c>
      <c r="HK82" s="14" t="s">
        <v>445</v>
      </c>
      <c r="HL82" s="14" t="s">
        <v>181</v>
      </c>
      <c r="HM82" s="14" t="str">
        <f>SUBSTITUTE(HM80,",",".")</f>
        <v>-1.775</v>
      </c>
      <c r="HN82" s="10" t="s">
        <v>1354</v>
      </c>
      <c r="HO82" s="14">
        <f>$HO$12</f>
        <v>64</v>
      </c>
      <c r="HP82" s="14"/>
      <c r="HQ82" s="14"/>
      <c r="HR82" s="26">
        <v>4</v>
      </c>
      <c r="HS82" s="14" t="s">
        <v>180</v>
      </c>
      <c r="HT82" s="14" t="s">
        <v>445</v>
      </c>
      <c r="HU82" s="14" t="s">
        <v>181</v>
      </c>
      <c r="HV82" s="14" t="str">
        <f>SUBSTITUTE(HV80,",",".")</f>
        <v>0.417</v>
      </c>
      <c r="HW82" s="14" t="str">
        <f>IF(HV80=HV81,".","")</f>
        <v/>
      </c>
      <c r="HX82" s="14"/>
      <c r="HY82" s="14"/>
      <c r="HZ82" s="14"/>
      <c r="IG82" s="26"/>
      <c r="IH82" s="14"/>
      <c r="II82" s="14"/>
      <c r="IJ82" s="14"/>
      <c r="IK82" s="14"/>
      <c r="IL82" s="26">
        <v>4</v>
      </c>
      <c r="IM82" s="14" t="s">
        <v>1754</v>
      </c>
      <c r="IN82" s="14" t="s">
        <v>1756</v>
      </c>
      <c r="IO82" s="418" t="s">
        <v>1755</v>
      </c>
      <c r="IP82" s="14" t="s">
        <v>1350</v>
      </c>
      <c r="IQ82" s="14" t="s">
        <v>1352</v>
      </c>
      <c r="IR82" s="416">
        <f>$IR$12</f>
        <v>3.375</v>
      </c>
      <c r="IS82" s="186" t="s">
        <v>841</v>
      </c>
      <c r="IT82" s="6">
        <f>$IT$12</f>
        <v>40</v>
      </c>
      <c r="IU82" s="14"/>
      <c r="IV82" s="14"/>
      <c r="IW82" s="14"/>
      <c r="IX82" s="16"/>
      <c r="IY82" s="16"/>
      <c r="IZ82" s="16"/>
    </row>
    <row r="83" spans="8:260" ht="15.95" customHeight="1">
      <c r="H83" s="14">
        <v>2</v>
      </c>
      <c r="I83" s="5" t="str">
        <f t="shared" si="47"/>
        <v>CNC program for Sinumeric 840D</v>
      </c>
      <c r="J83" s="23" t="s">
        <v>1995</v>
      </c>
      <c r="K83" s="23" t="s">
        <v>1995</v>
      </c>
      <c r="L83" s="40" t="s">
        <v>1998</v>
      </c>
      <c r="M83" s="23" t="s">
        <v>436</v>
      </c>
      <c r="N83" s="23" t="s">
        <v>83</v>
      </c>
      <c r="O83" s="5" t="s">
        <v>84</v>
      </c>
      <c r="P83" s="23" t="s">
        <v>85</v>
      </c>
      <c r="Q83" s="23" t="s">
        <v>86</v>
      </c>
      <c r="R83" s="5" t="s">
        <v>82</v>
      </c>
      <c r="S83" s="23" t="s">
        <v>87</v>
      </c>
      <c r="T83" s="5" t="s">
        <v>88</v>
      </c>
      <c r="U83" s="5" t="s">
        <v>92</v>
      </c>
      <c r="V83" s="5" t="s">
        <v>89</v>
      </c>
      <c r="W83" s="23" t="s">
        <v>90</v>
      </c>
      <c r="X83" s="38" t="s">
        <v>91</v>
      </c>
      <c r="Y83" s="43" t="s">
        <v>1941</v>
      </c>
      <c r="Z83" s="23" t="s">
        <v>1942</v>
      </c>
      <c r="AA83" s="46" t="s">
        <v>1943</v>
      </c>
      <c r="AB83" s="23" t="s">
        <v>81</v>
      </c>
      <c r="AD83" s="131">
        <v>82</v>
      </c>
      <c r="AE83" s="365">
        <v>1</v>
      </c>
      <c r="AF83" s="365">
        <v>1</v>
      </c>
      <c r="AG83" s="365">
        <v>1</v>
      </c>
      <c r="AH83" s="366" t="s">
        <v>1605</v>
      </c>
      <c r="AI83" s="353">
        <v>6</v>
      </c>
      <c r="AJ83" s="353">
        <v>4.5</v>
      </c>
      <c r="AK83" s="361">
        <v>3</v>
      </c>
      <c r="AL83" s="359">
        <v>1</v>
      </c>
      <c r="AM83" s="349">
        <v>13</v>
      </c>
      <c r="AN83" s="360">
        <v>57</v>
      </c>
      <c r="AO83" s="349">
        <v>5.8</v>
      </c>
      <c r="AP83" s="370">
        <f t="shared" si="33"/>
        <v>82</v>
      </c>
      <c r="AQ83" s="16">
        <f t="shared" si="34"/>
        <v>82</v>
      </c>
      <c r="AR83" s="16" t="b">
        <f t="shared" si="35"/>
        <v>0</v>
      </c>
      <c r="AS83" s="16" t="b">
        <f t="shared" si="36"/>
        <v>0</v>
      </c>
      <c r="AT83" s="16">
        <f t="shared" si="37"/>
        <v>82</v>
      </c>
      <c r="AU83" s="16" t="b">
        <f t="shared" si="38"/>
        <v>0</v>
      </c>
      <c r="BJ83" s="19"/>
      <c r="BK83" s="18"/>
      <c r="DV83" s="375"/>
      <c r="DX83" s="375"/>
      <c r="DZ83" s="375"/>
      <c r="EB83" s="375"/>
      <c r="ED83" s="375"/>
      <c r="EF83" s="375"/>
      <c r="EN83" s="26"/>
      <c r="EO83" s="14"/>
      <c r="EP83" s="14"/>
      <c r="EQ83" s="103">
        <f>ROUND($BP$49/2,3)</f>
        <v>4.0629999999999997</v>
      </c>
      <c r="ER83" s="103"/>
      <c r="ES83" s="101">
        <f>-$BP$55</f>
        <v>3.375</v>
      </c>
      <c r="ET83" s="103"/>
      <c r="EU83" s="103">
        <f>ROUND($BP$54,3)</f>
        <v>0.313</v>
      </c>
      <c r="EV83" s="14"/>
      <c r="EW83" s="14"/>
      <c r="EX83" s="14"/>
      <c r="EY83" s="14"/>
      <c r="FC83" s="26"/>
      <c r="FD83" s="14"/>
      <c r="FE83" s="14"/>
      <c r="FF83" s="103">
        <f>ROUND($BJ$51/2,3)</f>
        <v>3.84</v>
      </c>
      <c r="FG83" s="103"/>
      <c r="FH83" s="101">
        <f>-$BP$55</f>
        <v>3.375</v>
      </c>
      <c r="FI83" s="103"/>
      <c r="FJ83" s="103">
        <f>ROUND($BP$54,3)</f>
        <v>0.313</v>
      </c>
      <c r="FK83" s="14"/>
      <c r="FL83" s="14"/>
      <c r="FM83" s="14"/>
      <c r="FN83" s="14"/>
      <c r="FO83" s="16"/>
      <c r="FP83" s="16"/>
      <c r="FQ83" s="16"/>
      <c r="FR83" s="26"/>
      <c r="HI83" s="26"/>
      <c r="HJ83" s="14"/>
      <c r="HK83" s="14"/>
      <c r="HL83" s="103"/>
      <c r="HM83" s="175">
        <f>$HM$13</f>
        <v>-17.812999999999999</v>
      </c>
      <c r="HN83" s="14"/>
      <c r="HO83" s="14"/>
      <c r="HP83" s="14"/>
      <c r="HQ83" s="14"/>
      <c r="HR83" s="26"/>
      <c r="HS83" s="14"/>
      <c r="HT83" s="14"/>
      <c r="HU83" s="103"/>
      <c r="HV83" s="175"/>
      <c r="HW83" s="14"/>
      <c r="HX83" s="14"/>
      <c r="HY83" s="14"/>
      <c r="HZ83" s="14"/>
      <c r="IG83" s="26"/>
      <c r="IH83" s="14"/>
      <c r="II83" s="14"/>
      <c r="IJ83" s="14"/>
      <c r="IK83" s="14"/>
      <c r="IL83" s="26"/>
      <c r="IM83" s="14"/>
      <c r="IN83" s="14"/>
      <c r="IO83" s="103">
        <f>$IO$13</f>
        <v>4.0629999999999997</v>
      </c>
      <c r="IP83" s="103"/>
      <c r="IQ83" s="101">
        <f>$IQ$13</f>
        <v>-3.375</v>
      </c>
      <c r="IR83" s="103"/>
      <c r="IS83" s="103">
        <f>$IS$13</f>
        <v>-0.313</v>
      </c>
      <c r="IT83" s="14"/>
      <c r="IU83" s="14"/>
      <c r="IV83" s="14"/>
      <c r="IW83" s="14"/>
      <c r="IX83" s="16"/>
      <c r="IY83" s="16"/>
      <c r="IZ83" s="16"/>
    </row>
    <row r="84" spans="8:260" ht="15.95" customHeight="1">
      <c r="H84" s="14">
        <v>3</v>
      </c>
      <c r="I84" s="5" t="str">
        <f t="shared" si="47"/>
        <v>CNC program for Siemens 810M</v>
      </c>
      <c r="J84" s="23" t="s">
        <v>1996</v>
      </c>
      <c r="K84" s="23" t="s">
        <v>1996</v>
      </c>
      <c r="L84" s="40" t="s">
        <v>1999</v>
      </c>
      <c r="M84" s="23" t="s">
        <v>248</v>
      </c>
      <c r="N84" s="23" t="s">
        <v>598</v>
      </c>
      <c r="O84" s="5" t="s">
        <v>1300</v>
      </c>
      <c r="P84" s="23" t="s">
        <v>42</v>
      </c>
      <c r="Q84" s="23" t="s">
        <v>167</v>
      </c>
      <c r="R84" s="5" t="s">
        <v>160</v>
      </c>
      <c r="S84" s="23" t="s">
        <v>57</v>
      </c>
      <c r="T84" s="5" t="s">
        <v>203</v>
      </c>
      <c r="U84" s="5" t="s">
        <v>1229</v>
      </c>
      <c r="V84" s="5" t="s">
        <v>1231</v>
      </c>
      <c r="W84" s="23" t="s">
        <v>627</v>
      </c>
      <c r="X84" s="38" t="s">
        <v>388</v>
      </c>
      <c r="Y84" s="43" t="s">
        <v>1944</v>
      </c>
      <c r="Z84" s="23" t="s">
        <v>1945</v>
      </c>
      <c r="AA84" s="46" t="s">
        <v>1946</v>
      </c>
      <c r="AB84" s="23" t="s">
        <v>1105</v>
      </c>
      <c r="AD84" s="131">
        <v>83</v>
      </c>
      <c r="AE84" s="365">
        <v>1</v>
      </c>
      <c r="AF84" s="365">
        <v>1</v>
      </c>
      <c r="AG84" s="365">
        <v>1</v>
      </c>
      <c r="AH84" s="366" t="s">
        <v>1606</v>
      </c>
      <c r="AI84" s="353">
        <v>16</v>
      </c>
      <c r="AJ84" s="353">
        <v>16</v>
      </c>
      <c r="AK84" s="361">
        <v>5</v>
      </c>
      <c r="AL84" s="359">
        <v>2.5</v>
      </c>
      <c r="AM84" s="349">
        <v>52.5</v>
      </c>
      <c r="AN84" s="360">
        <v>115</v>
      </c>
      <c r="AO84" s="349">
        <v>19.600000000000001</v>
      </c>
      <c r="AP84" s="370">
        <f t="shared" si="33"/>
        <v>83</v>
      </c>
      <c r="AQ84" s="16" t="b">
        <f t="shared" si="34"/>
        <v>0</v>
      </c>
      <c r="AR84" s="16" t="b">
        <f t="shared" si="35"/>
        <v>0</v>
      </c>
      <c r="AS84" s="16">
        <f t="shared" si="36"/>
        <v>83</v>
      </c>
      <c r="AT84" s="16">
        <f t="shared" si="37"/>
        <v>83</v>
      </c>
      <c r="AU84" s="16" t="b">
        <f t="shared" si="38"/>
        <v>0</v>
      </c>
      <c r="BJ84" s="19"/>
      <c r="BK84" s="18"/>
      <c r="BV84" s="8">
        <v>28</v>
      </c>
      <c r="BW84" s="54">
        <f>LOOKUP(BT$54,BX$2:EM$2,BX84:EM84)</f>
        <v>0</v>
      </c>
      <c r="CR84" s="23" t="str">
        <f>$CF$48</f>
        <v>M30</v>
      </c>
      <c r="CT84" s="23" t="str">
        <f>$CF$42</f>
        <v>G00 G40 X0. Y-3.375</v>
      </c>
      <c r="CV84" s="375" t="str">
        <f>$CH$42</f>
        <v>G03 X0. Y0. Z1.25 I-4.063 J0.</v>
      </c>
      <c r="CX84" s="375" t="str">
        <f>$CH$42</f>
        <v>G03 X0. Y0. Z1.25 I-4.063 J0.</v>
      </c>
      <c r="CZ84" s="375" t="str">
        <f>$CH$42</f>
        <v>G03 X0. Y0. Z1.25 I-4.063 J0.</v>
      </c>
      <c r="DB84" s="375" t="str">
        <f>$CH$42</f>
        <v>G03 X0. Y0. Z1.25 I-4.063 J0.</v>
      </c>
      <c r="DD84" s="375" t="str">
        <f>$CH$42</f>
        <v>G03 X0. Y0. Z1.25 I-4.063 J0.</v>
      </c>
      <c r="DE84" s="375"/>
      <c r="DF84" s="375"/>
      <c r="DG84" s="375"/>
      <c r="DH84" s="375"/>
      <c r="DI84" s="375"/>
      <c r="DJ84" s="375"/>
      <c r="DK84" s="375"/>
      <c r="DL84" s="375"/>
      <c r="DM84" s="375"/>
      <c r="DN84" s="375"/>
      <c r="DO84" s="375"/>
      <c r="DP84" s="375"/>
      <c r="DQ84" s="375"/>
      <c r="DR84" s="23" t="str">
        <f>$DF$48</f>
        <v>M30</v>
      </c>
      <c r="DS84" s="375"/>
      <c r="DT84" s="23" t="str">
        <f>$DF$42</f>
        <v>G00 G40 X0. Y3.375</v>
      </c>
      <c r="DU84" s="375"/>
      <c r="DV84" s="375" t="str">
        <f t="shared" si="41"/>
        <v>G02 X0. Y0. Z-1.25 I-4.063 J0.</v>
      </c>
      <c r="DW84" s="375"/>
      <c r="DX84" s="375" t="str">
        <f t="shared" si="42"/>
        <v>G02 X0. Y0. Z-1.25 I-4.063 J0.</v>
      </c>
      <c r="DY84" s="375"/>
      <c r="DZ84" s="375" t="str">
        <f t="shared" si="43"/>
        <v>G02 X0. Y0. Z-1.25 I-4.063 J0.</v>
      </c>
      <c r="EA84" s="375"/>
      <c r="EB84" s="375" t="str">
        <f t="shared" si="44"/>
        <v>G02 X0. Y0. Z-1.25 I-4.063 J0.</v>
      </c>
      <c r="EC84" s="375"/>
      <c r="ED84" s="375" t="str">
        <f t="shared" si="45"/>
        <v>G02 X0. Y0. Z-1.25 I-4.063 J0.</v>
      </c>
      <c r="EE84" s="375"/>
      <c r="EF84" s="375" t="str">
        <f t="shared" si="46"/>
        <v>G02 X0. Y0. Z-1.25 I-4.063 J0.</v>
      </c>
      <c r="EN84" s="25"/>
      <c r="EO84" s="16"/>
      <c r="EP84" s="16"/>
      <c r="EQ84" s="102">
        <f>INT(EQ83)</f>
        <v>4</v>
      </c>
      <c r="ER84" s="102"/>
      <c r="ES84" s="102">
        <f>INT(ES83)</f>
        <v>3</v>
      </c>
      <c r="ET84" s="102"/>
      <c r="EU84" s="102">
        <f>INT(EU83)</f>
        <v>0</v>
      </c>
      <c r="EV84" s="16"/>
      <c r="EW84" s="16"/>
      <c r="EX84" s="16"/>
      <c r="EY84" s="16"/>
      <c r="FF84" s="102">
        <f>INT(FF83)</f>
        <v>3</v>
      </c>
      <c r="FG84" s="102"/>
      <c r="FH84" s="102">
        <f>INT(FH83)</f>
        <v>3</v>
      </c>
      <c r="FI84" s="102"/>
      <c r="FJ84" s="102">
        <f>INT(FJ83)</f>
        <v>0</v>
      </c>
      <c r="FO84" s="16"/>
      <c r="FP84" s="16"/>
      <c r="FQ84" s="16"/>
      <c r="FR84" s="25"/>
      <c r="HI84" s="25"/>
      <c r="HL84" s="104"/>
      <c r="HM84" s="102">
        <f>INT(HM83)</f>
        <v>-18</v>
      </c>
      <c r="HR84" s="25"/>
      <c r="HU84" s="104"/>
      <c r="HV84" s="102"/>
      <c r="HZ84" s="16"/>
      <c r="IO84" s="102">
        <f>INT(IO83)</f>
        <v>4</v>
      </c>
      <c r="IP84" s="102"/>
      <c r="IQ84" s="102">
        <f>INT(IQ83)</f>
        <v>-4</v>
      </c>
      <c r="IR84" s="102"/>
      <c r="IS84" s="102">
        <f>INT(IS83)</f>
        <v>-1</v>
      </c>
      <c r="IX84" s="16"/>
      <c r="IY84" s="16"/>
      <c r="IZ84" s="16"/>
    </row>
    <row r="85" spans="8:260" ht="15.95" customHeight="1">
      <c r="H85" s="14">
        <v>4</v>
      </c>
      <c r="I85" s="5" t="str">
        <f t="shared" si="47"/>
        <v>CNC program for Num</v>
      </c>
      <c r="J85" s="23" t="s">
        <v>622</v>
      </c>
      <c r="K85" s="23" t="s">
        <v>634</v>
      </c>
      <c r="L85" s="40" t="s">
        <v>1200</v>
      </c>
      <c r="M85" s="23" t="s">
        <v>249</v>
      </c>
      <c r="N85" s="23" t="s">
        <v>1403</v>
      </c>
      <c r="O85" s="5" t="s">
        <v>579</v>
      </c>
      <c r="P85" s="23" t="s">
        <v>313</v>
      </c>
      <c r="Q85" s="23" t="s">
        <v>168</v>
      </c>
      <c r="R85" s="5" t="s">
        <v>622</v>
      </c>
      <c r="S85" s="23" t="s">
        <v>58</v>
      </c>
      <c r="T85" s="5" t="s">
        <v>204</v>
      </c>
      <c r="U85" s="5" t="s">
        <v>1226</v>
      </c>
      <c r="V85" s="5" t="s">
        <v>1232</v>
      </c>
      <c r="W85" s="23" t="s">
        <v>628</v>
      </c>
      <c r="X85" s="38" t="s">
        <v>389</v>
      </c>
      <c r="Y85" s="43" t="s">
        <v>1947</v>
      </c>
      <c r="Z85" s="23" t="s">
        <v>1948</v>
      </c>
      <c r="AA85" s="46" t="s">
        <v>1949</v>
      </c>
      <c r="AB85" s="23" t="s">
        <v>1106</v>
      </c>
      <c r="AD85" s="131">
        <v>84</v>
      </c>
      <c r="AE85" s="365">
        <v>1</v>
      </c>
      <c r="AF85" s="365">
        <v>1</v>
      </c>
      <c r="AG85" s="365">
        <v>1</v>
      </c>
      <c r="AH85" s="366" t="s">
        <v>1607</v>
      </c>
      <c r="AI85" s="353">
        <v>14</v>
      </c>
      <c r="AJ85" s="353">
        <v>14</v>
      </c>
      <c r="AK85" s="361">
        <v>5</v>
      </c>
      <c r="AL85" s="359">
        <v>2.5</v>
      </c>
      <c r="AM85" s="349">
        <v>47.5</v>
      </c>
      <c r="AN85" s="360">
        <v>102</v>
      </c>
      <c r="AO85" s="349">
        <v>17.600000000000001</v>
      </c>
      <c r="AP85" s="370">
        <f t="shared" si="33"/>
        <v>84</v>
      </c>
      <c r="AQ85" s="16" t="b">
        <f t="shared" si="34"/>
        <v>0</v>
      </c>
      <c r="AR85" s="16" t="b">
        <f t="shared" si="35"/>
        <v>0</v>
      </c>
      <c r="AS85" s="16">
        <f t="shared" si="36"/>
        <v>84</v>
      </c>
      <c r="AT85" s="16">
        <f t="shared" si="37"/>
        <v>84</v>
      </c>
      <c r="AU85" s="16" t="b">
        <f t="shared" si="38"/>
        <v>0</v>
      </c>
      <c r="BJ85" s="19"/>
      <c r="BK85" s="18"/>
      <c r="BV85" s="8"/>
      <c r="DT85" s="375"/>
      <c r="DX85" s="375"/>
      <c r="DZ85" s="375"/>
      <c r="EB85" s="375"/>
      <c r="ED85" s="375"/>
      <c r="EF85" s="375"/>
      <c r="EN85" s="26">
        <v>5</v>
      </c>
      <c r="EO85" s="14" t="s">
        <v>675</v>
      </c>
      <c r="EP85" s="14" t="s">
        <v>674</v>
      </c>
      <c r="EQ85" s="14" t="str">
        <f>SUBSTITUTE(EQ83,",",".")</f>
        <v>4.063</v>
      </c>
      <c r="ER85" s="14" t="str">
        <f>IF(EQ83=EQ84,". Y"," Y")</f>
        <v xml:space="preserve"> Y</v>
      </c>
      <c r="ES85" s="14" t="str">
        <f>SUBSTITUTE(ES83,",",".")</f>
        <v>3.375</v>
      </c>
      <c r="ET85" s="14" t="str">
        <f>IF(ES83=ES84,". Z"," Z")</f>
        <v xml:space="preserve"> Z</v>
      </c>
      <c r="EU85" s="14" t="str">
        <f>SUBSTITUTE(EU83,",",".")</f>
        <v>0.313</v>
      </c>
      <c r="EV85" s="418" t="s">
        <v>1970</v>
      </c>
      <c r="EW85" s="14">
        <f>$BP$52</f>
        <v>3.4329999999999998</v>
      </c>
      <c r="EX85" s="186"/>
      <c r="EY85" s="97"/>
      <c r="EZ85" s="14"/>
      <c r="FA85" s="14"/>
      <c r="FB85" s="14"/>
      <c r="FC85" s="26">
        <v>5</v>
      </c>
      <c r="FD85" s="14" t="s">
        <v>675</v>
      </c>
      <c r="FE85" s="14" t="s">
        <v>674</v>
      </c>
      <c r="FF85" s="14" t="str">
        <f>SUBSTITUTE(FF83,",",".")</f>
        <v>3.84</v>
      </c>
      <c r="FG85" s="14" t="str">
        <f>IF(FF83=FF84,". Y"," Y")</f>
        <v xml:space="preserve"> Y</v>
      </c>
      <c r="FH85" s="14" t="str">
        <f>SUBSTITUTE(FH83,",",".")</f>
        <v>3.375</v>
      </c>
      <c r="FI85" s="14" t="str">
        <f>IF(FH83=FH84,". Z"," Z")</f>
        <v xml:space="preserve"> Z</v>
      </c>
      <c r="FJ85" s="14" t="str">
        <f>SUBSTITUTE(FJ83,",",".")</f>
        <v>0.313</v>
      </c>
      <c r="FK85" s="418" t="s">
        <v>1970</v>
      </c>
      <c r="FL85" s="14">
        <f>$BK$51</f>
        <v>3.403</v>
      </c>
      <c r="FM85" s="14"/>
      <c r="FN85" s="14"/>
      <c r="FO85" s="14"/>
      <c r="FP85" s="14"/>
      <c r="FQ85" s="14"/>
      <c r="FR85" s="26"/>
      <c r="HI85" s="26">
        <v>5</v>
      </c>
      <c r="HJ85" s="14" t="s">
        <v>446</v>
      </c>
      <c r="HK85" s="14" t="s">
        <v>175</v>
      </c>
      <c r="HL85" s="14" t="s">
        <v>181</v>
      </c>
      <c r="HM85" s="14" t="str">
        <f>SUBSTITUTE(HM83,",",".")</f>
        <v>-17.813</v>
      </c>
      <c r="HN85" s="14" t="str">
        <f>IF(HM83=HM84,".","")</f>
        <v/>
      </c>
      <c r="HO85" s="14"/>
      <c r="HP85" s="14"/>
      <c r="HQ85" s="14"/>
      <c r="HR85" s="26">
        <v>5</v>
      </c>
      <c r="HS85" s="14" t="s">
        <v>1353</v>
      </c>
      <c r="HT85" s="418" t="s">
        <v>644</v>
      </c>
      <c r="HU85" s="186" t="s">
        <v>1073</v>
      </c>
      <c r="HV85" s="10">
        <f>$HV$15</f>
        <v>-3</v>
      </c>
      <c r="HW85" s="186" t="s">
        <v>1351</v>
      </c>
      <c r="HX85" s="14" t="s">
        <v>1354</v>
      </c>
      <c r="HY85" s="14">
        <f>$HY$15</f>
        <v>48</v>
      </c>
      <c r="HZ85" s="97"/>
      <c r="IA85" s="14"/>
      <c r="IG85" s="26"/>
      <c r="IH85" s="14"/>
      <c r="II85" s="14"/>
      <c r="IJ85" s="14"/>
      <c r="IK85" s="14"/>
      <c r="IL85" s="26">
        <v>5</v>
      </c>
      <c r="IM85" s="14" t="s">
        <v>1749</v>
      </c>
      <c r="IN85" s="14" t="s">
        <v>674</v>
      </c>
      <c r="IO85" s="14" t="str">
        <f>SUBSTITUTE(IO83,",",".")</f>
        <v>4.063</v>
      </c>
      <c r="IP85" s="14" t="str">
        <f>IF(IO83=IO84,". Y"," Y")</f>
        <v xml:space="preserve"> Y</v>
      </c>
      <c r="IQ85" s="14" t="str">
        <f>SUBSTITUTE(IQ83,",",".")</f>
        <v>-3.375</v>
      </c>
      <c r="IR85" s="14" t="str">
        <f>IF(IQ83=IQ84,". Z"," Z")</f>
        <v xml:space="preserve"> Z</v>
      </c>
      <c r="IS85" s="14" t="str">
        <f>SUBSTITUTE(IS83,",",".")</f>
        <v>-0.313</v>
      </c>
      <c r="IT85" s="418" t="s">
        <v>1970</v>
      </c>
      <c r="IU85" s="10">
        <f>$IU$15</f>
        <v>3.4329999999999998</v>
      </c>
      <c r="IV85" s="14"/>
      <c r="IW85" s="14"/>
      <c r="IX85" s="14"/>
      <c r="IY85" s="14"/>
      <c r="IZ85" s="14"/>
    </row>
    <row r="86" spans="8:260" ht="15.95" customHeight="1">
      <c r="H86" s="14">
        <v>5</v>
      </c>
      <c r="I86" s="5" t="str">
        <f t="shared" si="47"/>
        <v>CNC program for Fagor</v>
      </c>
      <c r="J86" s="23" t="s">
        <v>623</v>
      </c>
      <c r="K86" s="23" t="s">
        <v>1398</v>
      </c>
      <c r="L86" s="40" t="s">
        <v>1204</v>
      </c>
      <c r="M86" s="23" t="s">
        <v>250</v>
      </c>
      <c r="N86" s="23" t="s">
        <v>1368</v>
      </c>
      <c r="O86" s="5" t="s">
        <v>580</v>
      </c>
      <c r="P86" s="23" t="s">
        <v>1084</v>
      </c>
      <c r="Q86" s="23" t="s">
        <v>169</v>
      </c>
      <c r="R86" s="5" t="s">
        <v>623</v>
      </c>
      <c r="S86" s="23" t="s">
        <v>1290</v>
      </c>
      <c r="T86" s="5" t="s">
        <v>205</v>
      </c>
      <c r="U86" s="5" t="s">
        <v>663</v>
      </c>
      <c r="V86" s="5" t="s">
        <v>1233</v>
      </c>
      <c r="W86" s="23" t="s">
        <v>765</v>
      </c>
      <c r="X86" s="38" t="s">
        <v>210</v>
      </c>
      <c r="Y86" s="43" t="s">
        <v>1950</v>
      </c>
      <c r="Z86" s="23" t="s">
        <v>1951</v>
      </c>
      <c r="AA86" s="46" t="s">
        <v>1952</v>
      </c>
      <c r="AB86" s="23" t="s">
        <v>1107</v>
      </c>
      <c r="AD86" s="131">
        <v>85</v>
      </c>
      <c r="AE86" s="365">
        <v>1</v>
      </c>
      <c r="AF86" s="365">
        <v>1</v>
      </c>
      <c r="AG86" s="365">
        <v>1</v>
      </c>
      <c r="AH86" s="366" t="s">
        <v>1608</v>
      </c>
      <c r="AI86" s="353">
        <v>12</v>
      </c>
      <c r="AJ86" s="353">
        <v>12</v>
      </c>
      <c r="AK86" s="361">
        <v>4</v>
      </c>
      <c r="AL86" s="359">
        <v>2</v>
      </c>
      <c r="AM86" s="349">
        <v>42</v>
      </c>
      <c r="AN86" s="360">
        <v>100</v>
      </c>
      <c r="AO86" s="349">
        <v>15.6</v>
      </c>
      <c r="AP86" s="370">
        <f t="shared" si="33"/>
        <v>85</v>
      </c>
      <c r="AQ86" s="16" t="b">
        <f t="shared" si="34"/>
        <v>0</v>
      </c>
      <c r="AR86" s="16" t="b">
        <f t="shared" si="35"/>
        <v>0</v>
      </c>
      <c r="AS86" s="16">
        <f t="shared" si="36"/>
        <v>85</v>
      </c>
      <c r="AT86" s="16">
        <f t="shared" si="37"/>
        <v>85</v>
      </c>
      <c r="AU86" s="16" t="b">
        <f t="shared" si="38"/>
        <v>0</v>
      </c>
      <c r="BJ86" s="19"/>
      <c r="BK86" s="18"/>
      <c r="DT86" s="375"/>
      <c r="DX86" s="375"/>
      <c r="DZ86" s="375"/>
      <c r="EB86" s="375"/>
      <c r="ED86" s="375"/>
      <c r="EF86" s="375"/>
      <c r="EN86" s="26"/>
      <c r="EO86" s="14"/>
      <c r="EP86" s="14"/>
      <c r="EQ86" s="14"/>
      <c r="ER86" s="14"/>
      <c r="ES86" s="14"/>
      <c r="ET86" s="14"/>
      <c r="EU86" s="101">
        <f>$BL$6</f>
        <v>1.25</v>
      </c>
      <c r="EV86" s="103"/>
      <c r="EW86" s="103">
        <f>-ROUND($BP$49/2,3)</f>
        <v>-4.0629999999999997</v>
      </c>
      <c r="EX86" s="14"/>
      <c r="EY86" s="14"/>
      <c r="FC86" s="26"/>
      <c r="FD86" s="14"/>
      <c r="FE86" s="14"/>
      <c r="FF86" s="14"/>
      <c r="FG86" s="14"/>
      <c r="FH86" s="14"/>
      <c r="FI86" s="14"/>
      <c r="FJ86" s="101">
        <f>$BL$6</f>
        <v>1.25</v>
      </c>
      <c r="FK86" s="103"/>
      <c r="FL86" s="103">
        <f>-ROUND($BJ$51/2,3)</f>
        <v>-3.84</v>
      </c>
      <c r="FM86" s="14"/>
      <c r="FN86" s="14"/>
      <c r="FO86" s="16"/>
      <c r="FP86" s="16"/>
      <c r="FQ86" s="16"/>
      <c r="GJ86" s="423">
        <f>$GJ$16</f>
        <v>-4.0629999999999997</v>
      </c>
      <c r="GK86" s="423"/>
      <c r="GL86" s="423">
        <f>$GL$16</f>
        <v>4.0720000000000001</v>
      </c>
      <c r="GM86" s="423"/>
      <c r="GN86" s="423">
        <f>$GN$16</f>
        <v>0.313</v>
      </c>
      <c r="GO86" s="423"/>
      <c r="GP86" s="423">
        <f>$GP$16</f>
        <v>-4.0629999999999997</v>
      </c>
      <c r="GQ86" s="423"/>
      <c r="GR86" s="423">
        <f>$GR$16</f>
        <v>0.01</v>
      </c>
      <c r="GS86" s="423"/>
      <c r="GX86" s="14">
        <f>$GX$16</f>
        <v>-3.84</v>
      </c>
      <c r="GZ86" s="14">
        <f>$GZ$16</f>
        <v>3.85</v>
      </c>
      <c r="HB86" s="14">
        <f>$HB$16</f>
        <v>0.313</v>
      </c>
      <c r="HD86" s="14">
        <f>$HD$16</f>
        <v>-3.84</v>
      </c>
      <c r="HF86" s="14">
        <f>$HF$16</f>
        <v>0.01</v>
      </c>
      <c r="HI86" s="26"/>
      <c r="HJ86" s="14"/>
      <c r="HK86" s="14"/>
      <c r="HL86" s="14"/>
      <c r="HM86" s="14"/>
      <c r="HN86" s="14"/>
      <c r="HO86" s="14"/>
      <c r="HP86" s="14"/>
      <c r="HQ86" s="14"/>
      <c r="HR86" s="26"/>
      <c r="HS86" s="14"/>
      <c r="HT86" s="14"/>
      <c r="HU86" s="187">
        <f>$HU$16</f>
        <v>7.0629999999999997</v>
      </c>
      <c r="HV86" s="14"/>
      <c r="HW86" s="14"/>
      <c r="HX86" s="14"/>
      <c r="HY86" s="14">
        <f>$HY$16</f>
        <v>0.625</v>
      </c>
      <c r="HZ86" s="14"/>
      <c r="IG86" s="26"/>
      <c r="IH86" s="14"/>
      <c r="II86" s="14"/>
      <c r="IJ86" s="14"/>
      <c r="IK86" s="14"/>
      <c r="IL86" s="26"/>
      <c r="IM86" s="14"/>
      <c r="IN86" s="14"/>
      <c r="IO86" s="14"/>
      <c r="IP86" s="14"/>
      <c r="IQ86" s="14"/>
      <c r="IR86" s="14"/>
      <c r="IS86" s="101">
        <f>$IS$16</f>
        <v>-1.25</v>
      </c>
      <c r="IT86" s="103"/>
      <c r="IU86" s="103">
        <f>$IU$16</f>
        <v>-4.0629999999999997</v>
      </c>
      <c r="IV86" s="14"/>
      <c r="IW86" s="14"/>
      <c r="IX86" s="16"/>
      <c r="IY86" s="16"/>
      <c r="IZ86" s="16"/>
    </row>
    <row r="87" spans="8:260" ht="15.95" customHeight="1">
      <c r="H87" s="14">
        <v>6</v>
      </c>
      <c r="I87" s="5" t="str">
        <f t="shared" si="47"/>
        <v>CNC program for Mazak</v>
      </c>
      <c r="J87" s="23" t="s">
        <v>548</v>
      </c>
      <c r="K87" s="23" t="s">
        <v>280</v>
      </c>
      <c r="L87" s="40" t="s">
        <v>1208</v>
      </c>
      <c r="M87" s="23" t="s">
        <v>251</v>
      </c>
      <c r="N87" s="23" t="s">
        <v>595</v>
      </c>
      <c r="O87" s="5" t="s">
        <v>581</v>
      </c>
      <c r="P87" s="23" t="s">
        <v>1085</v>
      </c>
      <c r="Q87" s="23" t="s">
        <v>170</v>
      </c>
      <c r="R87" s="5" t="s">
        <v>14</v>
      </c>
      <c r="S87" s="23" t="s">
        <v>1291</v>
      </c>
      <c r="T87" s="5" t="s">
        <v>206</v>
      </c>
      <c r="U87" s="5" t="s">
        <v>664</v>
      </c>
      <c r="V87" s="5" t="s">
        <v>1234</v>
      </c>
      <c r="W87" s="23" t="s">
        <v>766</v>
      </c>
      <c r="X87" s="38" t="s">
        <v>211</v>
      </c>
      <c r="Y87" s="43" t="s">
        <v>1953</v>
      </c>
      <c r="Z87" s="23" t="s">
        <v>1954</v>
      </c>
      <c r="AA87" s="46" t="s">
        <v>1955</v>
      </c>
      <c r="AB87" s="23" t="s">
        <v>1108</v>
      </c>
      <c r="AD87" s="131">
        <v>86</v>
      </c>
      <c r="AE87" s="365">
        <v>1</v>
      </c>
      <c r="AF87" s="365">
        <v>1</v>
      </c>
      <c r="AG87" s="365">
        <v>1</v>
      </c>
      <c r="AH87" s="366" t="s">
        <v>1609</v>
      </c>
      <c r="AI87" s="353">
        <v>10</v>
      </c>
      <c r="AJ87" s="353">
        <v>10</v>
      </c>
      <c r="AK87" s="361">
        <v>4</v>
      </c>
      <c r="AL87" s="359">
        <v>2</v>
      </c>
      <c r="AM87" s="349">
        <v>38</v>
      </c>
      <c r="AN87" s="360">
        <v>91</v>
      </c>
      <c r="AO87" s="349">
        <v>13.6</v>
      </c>
      <c r="AP87" s="370">
        <f t="shared" si="33"/>
        <v>86</v>
      </c>
      <c r="AQ87" s="16" t="b">
        <f t="shared" si="34"/>
        <v>0</v>
      </c>
      <c r="AR87" s="16" t="b">
        <f t="shared" si="35"/>
        <v>0</v>
      </c>
      <c r="AS87" s="16">
        <f t="shared" si="36"/>
        <v>86</v>
      </c>
      <c r="AT87" s="16">
        <f t="shared" si="37"/>
        <v>86</v>
      </c>
      <c r="AU87" s="16" t="b">
        <f t="shared" si="38"/>
        <v>0</v>
      </c>
      <c r="BJ87" s="19"/>
      <c r="BK87" s="18"/>
      <c r="BV87" s="8">
        <v>29</v>
      </c>
      <c r="BW87" s="54">
        <f>LOOKUP(BT$54,BX$2:EM$2,BX87:EM87)</f>
        <v>0</v>
      </c>
      <c r="CT87" s="23" t="str">
        <f>$CF$45</f>
        <v>G90 G49 G00 Z200. M5</v>
      </c>
      <c r="CV87" s="23" t="str">
        <f>$CF$39</f>
        <v>G03 X-4.063 Y3.375 Z0.313 R3,433</v>
      </c>
      <c r="CX87" s="375" t="str">
        <f>$CH$42</f>
        <v>G03 X0. Y0. Z1.25 I-4.063 J0.</v>
      </c>
      <c r="CZ87" s="375" t="str">
        <f>$CH$42</f>
        <v>G03 X0. Y0. Z1.25 I-4.063 J0.</v>
      </c>
      <c r="DB87" s="375" t="str">
        <f>$CH$42</f>
        <v>G03 X0. Y0. Z1.25 I-4.063 J0.</v>
      </c>
      <c r="DD87" s="375" t="str">
        <f>$CH$42</f>
        <v>G03 X0. Y0. Z1.25 I-4.063 J0.</v>
      </c>
      <c r="DE87" s="375"/>
      <c r="DF87" s="375"/>
      <c r="DG87" s="375"/>
      <c r="DH87" s="375"/>
      <c r="DI87" s="375"/>
      <c r="DJ87" s="375"/>
      <c r="DK87" s="375"/>
      <c r="DL87" s="375"/>
      <c r="DM87" s="375"/>
      <c r="DN87" s="375"/>
      <c r="DO87" s="375"/>
      <c r="DP87" s="375"/>
      <c r="DQ87" s="375"/>
      <c r="DR87" s="375"/>
      <c r="DS87" s="375"/>
      <c r="DT87" s="23" t="str">
        <f>$DF$45</f>
        <v>G90 G49 G00 Z200. M5</v>
      </c>
      <c r="DU87" s="375"/>
      <c r="DV87" s="23" t="str">
        <f>$DF$39</f>
        <v>G02 X-4.063 Y-3.375 Z-0.313 R3,433</v>
      </c>
      <c r="DW87" s="375"/>
      <c r="DX87" s="375" t="str">
        <f t="shared" si="42"/>
        <v>G02 X0. Y0. Z-1.25 I-4.063 J0.</v>
      </c>
      <c r="DY87" s="375"/>
      <c r="DZ87" s="375" t="str">
        <f t="shared" si="43"/>
        <v>G02 X0. Y0. Z-1.25 I-4.063 J0.</v>
      </c>
      <c r="EA87" s="375"/>
      <c r="EB87" s="375" t="str">
        <f t="shared" si="44"/>
        <v>G02 X0. Y0. Z-1.25 I-4.063 J0.</v>
      </c>
      <c r="EC87" s="375"/>
      <c r="ED87" s="375" t="str">
        <f t="shared" si="45"/>
        <v>G02 X0. Y0. Z-1.25 I-4.063 J0.</v>
      </c>
      <c r="EE87" s="375"/>
      <c r="EF87" s="375" t="str">
        <f t="shared" si="46"/>
        <v>G02 X0. Y0. Z-1.25 I-4.063 J0.</v>
      </c>
      <c r="EU87" s="102">
        <f>INT(EU86)</f>
        <v>1</v>
      </c>
      <c r="EV87" s="104"/>
      <c r="EW87" s="102">
        <f>INT(EW86)</f>
        <v>-5</v>
      </c>
      <c r="FC87" s="24"/>
      <c r="FD87"/>
      <c r="FE87"/>
      <c r="FF87"/>
      <c r="FG87"/>
      <c r="FH87"/>
      <c r="FI87"/>
      <c r="FJ87" s="102">
        <f>INT(FJ86)</f>
        <v>1</v>
      </c>
      <c r="FK87" s="104"/>
      <c r="FL87" s="102">
        <f>INT(FL86)</f>
        <v>-4</v>
      </c>
      <c r="FM87"/>
      <c r="FN87"/>
      <c r="FO87" s="16"/>
      <c r="FP87" s="16"/>
      <c r="FQ87" s="16"/>
      <c r="GJ87" s="424">
        <f>INT(GJ86)</f>
        <v>-5</v>
      </c>
      <c r="GK87" s="423"/>
      <c r="GL87" s="424">
        <f>INT(GL86)</f>
        <v>4</v>
      </c>
      <c r="GM87" s="423"/>
      <c r="GN87" s="424">
        <f>INT(GN86)</f>
        <v>0</v>
      </c>
      <c r="GO87" s="423"/>
      <c r="GP87" s="424">
        <f>INT(GP86)</f>
        <v>-5</v>
      </c>
      <c r="GQ87" s="423"/>
      <c r="GR87" s="424">
        <f>INT(GR86)</f>
        <v>0</v>
      </c>
      <c r="GS87" s="423"/>
      <c r="GX87" s="16">
        <f>INT(GX86)</f>
        <v>-4</v>
      </c>
      <c r="GZ87" s="16">
        <f>INT(GZ86)</f>
        <v>3</v>
      </c>
      <c r="HB87" s="16">
        <f>INT(HB86)</f>
        <v>0</v>
      </c>
      <c r="HD87" s="16">
        <f>INT(HD86)</f>
        <v>-4</v>
      </c>
      <c r="HF87" s="16">
        <f>INT(HF86)</f>
        <v>0</v>
      </c>
      <c r="HM87" s="16"/>
      <c r="HO87" s="16"/>
      <c r="HU87" s="102">
        <f>INT(HU86)</f>
        <v>7</v>
      </c>
      <c r="HV87" s="16"/>
      <c r="HX87" s="16"/>
      <c r="HY87" s="102">
        <f>INT(HY86)</f>
        <v>0</v>
      </c>
      <c r="II87" s="14"/>
      <c r="IL87" s="24"/>
      <c r="IM87"/>
      <c r="IN87"/>
      <c r="IO87"/>
      <c r="IP87"/>
      <c r="IQ87"/>
      <c r="IR87"/>
      <c r="IS87" s="102">
        <f>INT(IS86)</f>
        <v>-2</v>
      </c>
      <c r="IT87" s="104"/>
      <c r="IU87" s="102">
        <f>INT(IU86)</f>
        <v>-5</v>
      </c>
      <c r="IV87"/>
      <c r="IW87"/>
      <c r="IX87" s="16"/>
      <c r="IY87" s="16"/>
      <c r="IZ87" s="16"/>
    </row>
    <row r="88" spans="8:260" ht="15.95" customHeight="1">
      <c r="H88" s="14">
        <v>7</v>
      </c>
      <c r="I88" s="5" t="str">
        <f t="shared" si="47"/>
        <v>CNC program for Mitsubishi</v>
      </c>
      <c r="J88" s="23" t="s">
        <v>534</v>
      </c>
      <c r="K88" s="23" t="s">
        <v>124</v>
      </c>
      <c r="L88" s="40" t="s">
        <v>1212</v>
      </c>
      <c r="M88" s="23" t="s">
        <v>252</v>
      </c>
      <c r="N88" s="23" t="s">
        <v>742</v>
      </c>
      <c r="O88" s="5" t="s">
        <v>582</v>
      </c>
      <c r="P88" s="23" t="s">
        <v>1083</v>
      </c>
      <c r="Q88" s="23" t="s">
        <v>171</v>
      </c>
      <c r="R88" s="5" t="s">
        <v>534</v>
      </c>
      <c r="S88" s="23" t="s">
        <v>1292</v>
      </c>
      <c r="T88" s="5" t="s">
        <v>207</v>
      </c>
      <c r="U88" s="5" t="s">
        <v>665</v>
      </c>
      <c r="V88" s="5" t="s">
        <v>1235</v>
      </c>
      <c r="W88" s="23" t="s">
        <v>1439</v>
      </c>
      <c r="X88" s="38" t="s">
        <v>17</v>
      </c>
      <c r="Y88" s="43" t="s">
        <v>1956</v>
      </c>
      <c r="Z88" s="23" t="s">
        <v>1957</v>
      </c>
      <c r="AA88" s="46" t="s">
        <v>1958</v>
      </c>
      <c r="AB88" s="23" t="s">
        <v>1109</v>
      </c>
      <c r="AD88" s="131">
        <v>87</v>
      </c>
      <c r="AE88" s="365">
        <v>1</v>
      </c>
      <c r="AF88" s="365">
        <v>1</v>
      </c>
      <c r="AG88" s="365">
        <v>1</v>
      </c>
      <c r="AH88" s="366" t="s">
        <v>1610</v>
      </c>
      <c r="AI88" s="353">
        <v>10</v>
      </c>
      <c r="AJ88" s="353">
        <v>9.5</v>
      </c>
      <c r="AK88" s="361">
        <v>4</v>
      </c>
      <c r="AL88" s="359">
        <v>1.75</v>
      </c>
      <c r="AM88" s="349">
        <v>31.5</v>
      </c>
      <c r="AN88" s="360">
        <v>85</v>
      </c>
      <c r="AO88" s="349">
        <v>11.6</v>
      </c>
      <c r="AP88" s="370">
        <f t="shared" si="33"/>
        <v>87</v>
      </c>
      <c r="AQ88" s="16" t="b">
        <f t="shared" si="34"/>
        <v>0</v>
      </c>
      <c r="AR88" s="16" t="b">
        <f t="shared" si="35"/>
        <v>0</v>
      </c>
      <c r="AS88" s="16">
        <f t="shared" si="36"/>
        <v>87</v>
      </c>
      <c r="AT88" s="16">
        <f t="shared" si="37"/>
        <v>87</v>
      </c>
      <c r="AU88" s="16" t="b">
        <f t="shared" si="38"/>
        <v>0</v>
      </c>
      <c r="BJ88" s="19"/>
      <c r="BK88" s="18"/>
      <c r="DX88" s="375"/>
      <c r="DZ88" s="375"/>
      <c r="EB88" s="375"/>
      <c r="ED88" s="375"/>
      <c r="EF88" s="375"/>
      <c r="EN88" s="26">
        <v>6</v>
      </c>
      <c r="EO88" s="14" t="s">
        <v>675</v>
      </c>
      <c r="EP88" s="14" t="s">
        <v>674</v>
      </c>
      <c r="EQ88" s="14">
        <v>0</v>
      </c>
      <c r="ER88" s="14" t="s">
        <v>676</v>
      </c>
      <c r="ES88" s="14">
        <v>0</v>
      </c>
      <c r="ET88" s="14" t="s">
        <v>677</v>
      </c>
      <c r="EU88" s="14" t="str">
        <f>SUBSTITUTE(EU86,",",".")</f>
        <v>1.25</v>
      </c>
      <c r="EV88" s="14" t="str">
        <f>IF(EU86=EU87,". I"," I")</f>
        <v xml:space="preserve"> I</v>
      </c>
      <c r="EW88" s="14" t="str">
        <f>SUBSTITUTE(EW86,",",".")</f>
        <v>-4.063</v>
      </c>
      <c r="EX88" s="14" t="str">
        <f>IF(EW86=EW87,". J"," J")</f>
        <v xml:space="preserve"> J</v>
      </c>
      <c r="EY88" s="14">
        <v>0</v>
      </c>
      <c r="EZ88" s="16" t="s">
        <v>255</v>
      </c>
      <c r="FA88" s="16" t="s">
        <v>1354</v>
      </c>
      <c r="FB88" s="176">
        <f>$C$30</f>
        <v>80</v>
      </c>
      <c r="FC88" s="26">
        <v>6</v>
      </c>
      <c r="FD88" s="14" t="s">
        <v>675</v>
      </c>
      <c r="FE88" s="14" t="s">
        <v>674</v>
      </c>
      <c r="FF88" s="14">
        <v>0</v>
      </c>
      <c r="FG88" s="14" t="s">
        <v>676</v>
      </c>
      <c r="FH88" s="14">
        <v>0</v>
      </c>
      <c r="FI88" s="14" t="s">
        <v>677</v>
      </c>
      <c r="FJ88" s="14" t="str">
        <f>SUBSTITUTE(FJ86,",",".")</f>
        <v>1.25</v>
      </c>
      <c r="FK88" s="14" t="str">
        <f>IF(FJ86=FJ87,". I"," I")</f>
        <v xml:space="preserve"> I</v>
      </c>
      <c r="FL88" s="14" t="str">
        <f>SUBSTITUTE(FL86,",",".")</f>
        <v>-3.84</v>
      </c>
      <c r="FM88" s="14" t="str">
        <f>IF(FL86=FL87,". J"," J")</f>
        <v xml:space="preserve"> J</v>
      </c>
      <c r="FN88" s="14">
        <v>0</v>
      </c>
      <c r="FO88" s="16" t="s">
        <v>255</v>
      </c>
      <c r="FP88" s="16" t="s">
        <v>1354</v>
      </c>
      <c r="FQ88" s="16">
        <f>$BM$51</f>
        <v>70</v>
      </c>
      <c r="FR88" s="26"/>
      <c r="GG88" s="26">
        <v>6</v>
      </c>
      <c r="GH88" s="14" t="s">
        <v>675</v>
      </c>
      <c r="GI88" s="14" t="s">
        <v>674</v>
      </c>
      <c r="GJ88" s="14" t="str">
        <f>SUBSTITUTE(GJ86,",",".")</f>
        <v>-4.063</v>
      </c>
      <c r="GK88" s="14" t="str">
        <f>IF(GJ86=GJ87,". Y"," Y")</f>
        <v xml:space="preserve"> Y</v>
      </c>
      <c r="GL88" s="14" t="str">
        <f>SUBSTITUTE(GL86,",",".")</f>
        <v>4.072</v>
      </c>
      <c r="GM88" s="14" t="str">
        <f>IF(GL86=GL87,". Z"," Z")</f>
        <v xml:space="preserve"> Z</v>
      </c>
      <c r="GN88" s="14" t="str">
        <f>SUBSTITUTE(GN86,",",".")</f>
        <v>0.313</v>
      </c>
      <c r="GO88" s="14" t="str">
        <f>IF(GN86=GN87,". I"," I")</f>
        <v xml:space="preserve"> I</v>
      </c>
      <c r="GP88" s="14" t="str">
        <f>SUBSTITUTE(GP86,",",".")</f>
        <v>-4.063</v>
      </c>
      <c r="GQ88" s="14" t="str">
        <f>IF(GP86=GP87,". J"," J")</f>
        <v xml:space="preserve"> J</v>
      </c>
      <c r="GR88" s="14" t="str">
        <f>SUBSTITUTE(GR86,",",".")</f>
        <v>0.01</v>
      </c>
      <c r="GS88" s="14" t="s">
        <v>1354</v>
      </c>
      <c r="GT88" s="97">
        <f>$C$30</f>
        <v>80</v>
      </c>
      <c r="GU88" s="26">
        <v>6</v>
      </c>
      <c r="GV88" s="14" t="s">
        <v>675</v>
      </c>
      <c r="GW88" s="14" t="s">
        <v>674</v>
      </c>
      <c r="GX88" s="14" t="str">
        <f>SUBSTITUTE(GX86,",",".")</f>
        <v>-3.84</v>
      </c>
      <c r="GY88" s="14" t="str">
        <f>IF(GX86=GX87,". Y"," Y")</f>
        <v xml:space="preserve"> Y</v>
      </c>
      <c r="GZ88" s="14" t="str">
        <f>SUBSTITUTE(GZ86,",",".")</f>
        <v>3.85</v>
      </c>
      <c r="HA88" s="14" t="str">
        <f>IF(GZ86=GZ87,". Z"," Z")</f>
        <v xml:space="preserve"> Z</v>
      </c>
      <c r="HB88" s="14" t="str">
        <f>SUBSTITUTE(HB86,",",".")</f>
        <v>0.313</v>
      </c>
      <c r="HC88" s="14" t="str">
        <f>IF(HB86=HB87,". I"," I")</f>
        <v xml:space="preserve"> I</v>
      </c>
      <c r="HD88" s="14" t="str">
        <f>SUBSTITUTE(HD86,",",".")</f>
        <v>-3.84</v>
      </c>
      <c r="HE88" s="14" t="str">
        <f>IF(HD86=HD87,". J"," J")</f>
        <v xml:space="preserve"> J</v>
      </c>
      <c r="HF88" s="14" t="str">
        <f>SUBSTITUTE(HF86,",",".")</f>
        <v>0.01</v>
      </c>
      <c r="HG88" s="14" t="s">
        <v>1354</v>
      </c>
      <c r="HH88" s="14">
        <f>$BM$51</f>
        <v>70</v>
      </c>
      <c r="HI88" s="26">
        <v>6</v>
      </c>
      <c r="HJ88" s="14" t="s">
        <v>180</v>
      </c>
      <c r="HK88" s="14" t="s">
        <v>447</v>
      </c>
      <c r="HL88" s="418" t="s">
        <v>644</v>
      </c>
      <c r="HM88" s="14" t="s">
        <v>1350</v>
      </c>
      <c r="HN88" s="14" t="s">
        <v>1352</v>
      </c>
      <c r="HO88" s="10">
        <f>$HO$18</f>
        <v>-3.375</v>
      </c>
      <c r="HP88" s="10" t="s">
        <v>1354</v>
      </c>
      <c r="HQ88" s="14">
        <f>$HQ$18</f>
        <v>48</v>
      </c>
      <c r="HR88" s="26">
        <v>6</v>
      </c>
      <c r="HS88" s="14" t="s">
        <v>675</v>
      </c>
      <c r="HT88" s="14" t="s">
        <v>674</v>
      </c>
      <c r="HU88" s="14" t="str">
        <f>SUBSTITUTE(HU86,",",".")</f>
        <v>7.063</v>
      </c>
      <c r="HV88" s="14" t="str">
        <f>IF(HU86=HU87,". Y"," Y")</f>
        <v xml:space="preserve"> Y</v>
      </c>
      <c r="HW88" s="14">
        <v>0</v>
      </c>
      <c r="HX88" s="14" t="str">
        <f>IF(HW86=HW87,". Z"," Z")</f>
        <v>. Z</v>
      </c>
      <c r="HY88" s="14" t="str">
        <f>SUBSTITUTE(HY86,",",".")</f>
        <v>0.625</v>
      </c>
      <c r="HZ88" s="418" t="s">
        <v>1970</v>
      </c>
      <c r="IA88" s="14">
        <f>$IA$18</f>
        <v>3.5310000000000001</v>
      </c>
      <c r="IC88" s="97"/>
      <c r="IG88" s="26"/>
      <c r="IH88" s="14"/>
      <c r="II88" s="14"/>
      <c r="IJ88" s="14"/>
      <c r="IK88" s="14"/>
      <c r="IL88" s="26">
        <v>6</v>
      </c>
      <c r="IM88" s="14" t="s">
        <v>1749</v>
      </c>
      <c r="IN88" s="14" t="s">
        <v>674</v>
      </c>
      <c r="IO88" s="14">
        <v>0</v>
      </c>
      <c r="IP88" s="14" t="s">
        <v>676</v>
      </c>
      <c r="IQ88" s="14">
        <v>0</v>
      </c>
      <c r="IR88" s="14" t="s">
        <v>677</v>
      </c>
      <c r="IS88" s="14" t="str">
        <f>SUBSTITUTE(IS86,",",".")</f>
        <v>-1.25</v>
      </c>
      <c r="IT88" s="14" t="str">
        <f>IF(IS86=IS87,". I"," I")</f>
        <v xml:space="preserve"> I</v>
      </c>
      <c r="IU88" s="14" t="str">
        <f>SUBSTITUTE(IU86,",",".")</f>
        <v>-4.063</v>
      </c>
      <c r="IV88" s="14" t="str">
        <f>IF(IU86=IU87,". J"," J")</f>
        <v xml:space="preserve"> J</v>
      </c>
      <c r="IW88" s="14">
        <v>0</v>
      </c>
      <c r="IX88" s="16" t="s">
        <v>255</v>
      </c>
      <c r="IY88" s="16" t="s">
        <v>841</v>
      </c>
      <c r="IZ88" s="176">
        <f>$IZ$18</f>
        <v>80</v>
      </c>
    </row>
    <row r="89" spans="8:260" ht="15.95" customHeight="1">
      <c r="X89" s="38"/>
      <c r="AA89" s="46"/>
      <c r="AD89" s="131">
        <v>88</v>
      </c>
      <c r="AE89" s="348">
        <v>1</v>
      </c>
      <c r="AF89" s="348">
        <v>1</v>
      </c>
      <c r="AG89" s="348">
        <v>1</v>
      </c>
      <c r="AH89" s="351" t="s">
        <v>1611</v>
      </c>
      <c r="AI89" s="352">
        <v>8</v>
      </c>
      <c r="AJ89" s="353">
        <v>7.5</v>
      </c>
      <c r="AK89" s="354">
        <v>4</v>
      </c>
      <c r="AL89" s="359">
        <v>1.5</v>
      </c>
      <c r="AM89" s="356">
        <v>27</v>
      </c>
      <c r="AN89" s="357">
        <v>78</v>
      </c>
      <c r="AO89" s="349">
        <v>9.6</v>
      </c>
      <c r="AP89" s="370">
        <f t="shared" si="33"/>
        <v>88</v>
      </c>
      <c r="AQ89" s="16" t="b">
        <f t="shared" si="34"/>
        <v>0</v>
      </c>
      <c r="AR89" s="16" t="b">
        <f t="shared" si="35"/>
        <v>0</v>
      </c>
      <c r="AS89" s="16">
        <f t="shared" si="36"/>
        <v>88</v>
      </c>
      <c r="AT89" s="16">
        <f t="shared" si="37"/>
        <v>88</v>
      </c>
      <c r="AU89" s="16" t="b">
        <f t="shared" si="38"/>
        <v>0</v>
      </c>
      <c r="BJ89" s="19"/>
      <c r="BK89" s="18"/>
      <c r="DX89" s="375"/>
      <c r="DZ89" s="375"/>
      <c r="EB89" s="375"/>
      <c r="ED89" s="375"/>
      <c r="EF89" s="375"/>
      <c r="EN89" s="26"/>
      <c r="EO89" s="14"/>
      <c r="EP89" s="14"/>
      <c r="EQ89" s="103">
        <f>-ROUND($BP$49/2,3)</f>
        <v>-4.0629999999999997</v>
      </c>
      <c r="ER89" s="103"/>
      <c r="ES89" s="101">
        <f>-$BP$55</f>
        <v>3.375</v>
      </c>
      <c r="ET89" s="103"/>
      <c r="EU89" s="103">
        <f>ROUND($BP$54,3)</f>
        <v>0.313</v>
      </c>
      <c r="EV89" s="103"/>
      <c r="EW89" s="103"/>
      <c r="EX89" s="14"/>
      <c r="EY89" s="14"/>
      <c r="FC89" s="26"/>
      <c r="FD89" s="14"/>
      <c r="FE89" s="14"/>
      <c r="FF89" s="103">
        <f>-ROUND($BJ$51/2,3)</f>
        <v>-3.84</v>
      </c>
      <c r="FG89" s="103"/>
      <c r="FH89" s="101">
        <f>-$BP$55</f>
        <v>3.375</v>
      </c>
      <c r="FI89" s="103"/>
      <c r="FJ89" s="103">
        <f>ROUND($BP$54,3)</f>
        <v>0.313</v>
      </c>
      <c r="FK89" s="103"/>
      <c r="FL89" s="103"/>
      <c r="FM89" s="14"/>
      <c r="FN89" s="14"/>
      <c r="FO89" s="16"/>
      <c r="FP89" s="16"/>
      <c r="FQ89" s="16"/>
      <c r="GH89" s="423"/>
      <c r="GI89" s="423"/>
      <c r="GJ89" s="423">
        <f>-(GL86+GR86)</f>
        <v>-4.0819999999999999</v>
      </c>
      <c r="GK89" s="423"/>
      <c r="GL89" s="423">
        <f>-GL86</f>
        <v>-4.0720000000000001</v>
      </c>
      <c r="GM89" s="423"/>
      <c r="GN89" s="423">
        <f>GN86</f>
        <v>0.313</v>
      </c>
      <c r="GO89" s="423"/>
      <c r="GP89" s="423">
        <f>-GR86</f>
        <v>-0.01</v>
      </c>
      <c r="GQ89" s="423"/>
      <c r="GR89" s="423">
        <f>GL89</f>
        <v>-4.0720000000000001</v>
      </c>
      <c r="GX89" s="14">
        <f>-(GZ86+HF86)</f>
        <v>-3.86</v>
      </c>
      <c r="GZ89" s="14">
        <f>-GZ86</f>
        <v>-3.85</v>
      </c>
      <c r="HB89" s="14">
        <f>HB86</f>
        <v>0.313</v>
      </c>
      <c r="HD89" s="14">
        <f>-HF86</f>
        <v>-0.01</v>
      </c>
      <c r="HF89" s="14">
        <f>GZ89</f>
        <v>-3.85</v>
      </c>
      <c r="HI89" s="26"/>
      <c r="HJ89" s="14"/>
      <c r="HK89" s="14"/>
      <c r="HL89" s="14"/>
      <c r="HM89" s="14"/>
      <c r="HN89" s="14"/>
      <c r="HO89" s="14"/>
      <c r="HR89" s="26"/>
      <c r="HS89" s="14"/>
      <c r="HT89" s="14"/>
      <c r="HU89" s="103"/>
      <c r="HV89" s="103"/>
      <c r="HW89" s="101"/>
      <c r="HX89" s="103"/>
      <c r="HY89" s="101">
        <f>$HY$19</f>
        <v>1.25</v>
      </c>
      <c r="HZ89" s="14"/>
      <c r="IA89" s="188">
        <f>$IA$19</f>
        <v>-4.0629999999999997</v>
      </c>
      <c r="IG89" s="26"/>
      <c r="IH89" s="14"/>
      <c r="II89" s="14"/>
      <c r="IJ89" s="14"/>
      <c r="IK89" s="14"/>
      <c r="IL89" s="26"/>
      <c r="IM89" s="14"/>
      <c r="IN89" s="14"/>
      <c r="IO89" s="103">
        <f>$IO$19</f>
        <v>-4.0629999999999997</v>
      </c>
      <c r="IP89" s="103"/>
      <c r="IQ89" s="101">
        <f>$IQ$19</f>
        <v>-3.375</v>
      </c>
      <c r="IR89" s="103"/>
      <c r="IS89" s="103">
        <f>$IS$19</f>
        <v>-0.313</v>
      </c>
      <c r="IT89" s="103"/>
      <c r="IU89" s="103"/>
      <c r="IV89" s="14"/>
      <c r="IW89" s="14"/>
      <c r="IX89" s="16"/>
      <c r="IY89" s="16"/>
      <c r="IZ89" s="16"/>
    </row>
    <row r="90" spans="8:260" ht="15.95" customHeight="1">
      <c r="X90" s="38"/>
      <c r="AA90" s="46"/>
      <c r="AD90" s="131">
        <v>89</v>
      </c>
      <c r="AE90" s="348">
        <v>1</v>
      </c>
      <c r="AF90" s="348">
        <v>1</v>
      </c>
      <c r="AG90" s="348">
        <v>1</v>
      </c>
      <c r="AH90" s="351" t="s">
        <v>1612</v>
      </c>
      <c r="AI90" s="352">
        <v>6</v>
      </c>
      <c r="AJ90" s="353">
        <v>6</v>
      </c>
      <c r="AK90" s="354">
        <v>3</v>
      </c>
      <c r="AL90" s="359">
        <v>1.25</v>
      </c>
      <c r="AM90" s="356">
        <v>21.25</v>
      </c>
      <c r="AN90" s="357">
        <v>69</v>
      </c>
      <c r="AO90" s="349">
        <v>7.8</v>
      </c>
      <c r="AP90" s="370">
        <f t="shared" si="33"/>
        <v>89</v>
      </c>
      <c r="AQ90" s="16">
        <f t="shared" si="34"/>
        <v>89</v>
      </c>
      <c r="AR90" s="16">
        <f t="shared" si="35"/>
        <v>89</v>
      </c>
      <c r="AS90" s="16">
        <f t="shared" si="36"/>
        <v>89</v>
      </c>
      <c r="AT90" s="16">
        <f t="shared" si="37"/>
        <v>89</v>
      </c>
      <c r="AU90" s="16">
        <f t="shared" si="38"/>
        <v>89</v>
      </c>
      <c r="BJ90" s="19"/>
      <c r="BK90" s="18"/>
      <c r="BV90" s="8">
        <v>30</v>
      </c>
      <c r="BW90" s="54">
        <f>LOOKUP(BT$54,BX$2:EM$2,BX90:EM90)</f>
        <v>0</v>
      </c>
      <c r="CT90" s="23" t="str">
        <f>$CF$48</f>
        <v>M30</v>
      </c>
      <c r="CV90" s="23" t="str">
        <f>$CF$42</f>
        <v>G00 G40 X0. Y-3.375</v>
      </c>
      <c r="CX90" s="375" t="str">
        <f>$CH$42</f>
        <v>G03 X0. Y0. Z1.25 I-4.063 J0.</v>
      </c>
      <c r="CZ90" s="375" t="str">
        <f>$CH$42</f>
        <v>G03 X0. Y0. Z1.25 I-4.063 J0.</v>
      </c>
      <c r="DB90" s="375" t="str">
        <f>$CH$42</f>
        <v>G03 X0. Y0. Z1.25 I-4.063 J0.</v>
      </c>
      <c r="DD90" s="375" t="str">
        <f>$CH$42</f>
        <v>G03 X0. Y0. Z1.25 I-4.063 J0.</v>
      </c>
      <c r="DE90" s="375"/>
      <c r="DF90" s="375"/>
      <c r="DG90" s="375"/>
      <c r="DH90" s="375"/>
      <c r="DI90" s="375"/>
      <c r="DJ90" s="375"/>
      <c r="DK90" s="375"/>
      <c r="DL90" s="375"/>
      <c r="DM90" s="375"/>
      <c r="DN90" s="375"/>
      <c r="DO90" s="375"/>
      <c r="DP90" s="375"/>
      <c r="DQ90" s="375"/>
      <c r="DR90" s="375"/>
      <c r="DS90" s="375"/>
      <c r="DT90" s="23" t="str">
        <f>$DF$48</f>
        <v>M30</v>
      </c>
      <c r="DU90" s="375"/>
      <c r="DV90" s="23" t="str">
        <f>$DF$42</f>
        <v>G00 G40 X0. Y3.375</v>
      </c>
      <c r="DW90" s="375"/>
      <c r="DX90" s="375" t="str">
        <f t="shared" si="42"/>
        <v>G02 X0. Y0. Z-1.25 I-4.063 J0.</v>
      </c>
      <c r="DY90" s="375"/>
      <c r="DZ90" s="375" t="str">
        <f t="shared" si="43"/>
        <v>G02 X0. Y0. Z-1.25 I-4.063 J0.</v>
      </c>
      <c r="EA90" s="375"/>
      <c r="EB90" s="375" t="str">
        <f t="shared" si="44"/>
        <v>G02 X0. Y0. Z-1.25 I-4.063 J0.</v>
      </c>
      <c r="EC90" s="375"/>
      <c r="ED90" s="375" t="str">
        <f t="shared" si="45"/>
        <v>G02 X0. Y0. Z-1.25 I-4.063 J0.</v>
      </c>
      <c r="EE90" s="375"/>
      <c r="EF90" s="375" t="str">
        <f t="shared" si="46"/>
        <v>G02 X0. Y0. Z-1.25 I-4.063 J0.</v>
      </c>
      <c r="EQ90" s="102">
        <f>INT(EQ89)</f>
        <v>-5</v>
      </c>
      <c r="ER90" s="104"/>
      <c r="ES90" s="102">
        <f>INT(ES89)</f>
        <v>3</v>
      </c>
      <c r="ET90" s="104"/>
      <c r="EU90" s="102">
        <f>INT(EU89)</f>
        <v>0</v>
      </c>
      <c r="EV90" s="104"/>
      <c r="EW90" s="102"/>
      <c r="FC90" s="24"/>
      <c r="FD90"/>
      <c r="FE90"/>
      <c r="FF90" s="102">
        <f>INT(FF89)</f>
        <v>-4</v>
      </c>
      <c r="FG90" s="104"/>
      <c r="FH90" s="102">
        <f>INT(FH89)</f>
        <v>3</v>
      </c>
      <c r="FI90" s="104"/>
      <c r="FJ90" s="102">
        <f>INT(FJ89)</f>
        <v>0</v>
      </c>
      <c r="FK90" s="104"/>
      <c r="FL90" s="102"/>
      <c r="FM90"/>
      <c r="FN90"/>
      <c r="FO90" s="16"/>
      <c r="FP90" s="16"/>
      <c r="FQ90" s="16"/>
      <c r="GH90" s="423"/>
      <c r="GI90" s="423"/>
      <c r="GJ90" s="424">
        <f>INT(GJ89)</f>
        <v>-5</v>
      </c>
      <c r="GK90" s="423"/>
      <c r="GL90" s="424">
        <f>INT(GL89)</f>
        <v>-5</v>
      </c>
      <c r="GM90" s="423"/>
      <c r="GN90" s="424">
        <f>INT(GN89)</f>
        <v>0</v>
      </c>
      <c r="GO90" s="423"/>
      <c r="GP90" s="424">
        <f>INT(GP89)</f>
        <v>-1</v>
      </c>
      <c r="GQ90" s="423"/>
      <c r="GR90" s="424">
        <f>INT(GR89)</f>
        <v>-5</v>
      </c>
      <c r="GX90" s="16">
        <f>INT(GX89)</f>
        <v>-4</v>
      </c>
      <c r="GZ90" s="16">
        <f>INT(GZ89)</f>
        <v>-4</v>
      </c>
      <c r="HB90" s="16">
        <f>INT(HB89)</f>
        <v>0</v>
      </c>
      <c r="HD90" s="16">
        <f>INT(HD89)</f>
        <v>-1</v>
      </c>
      <c r="HF90" s="16">
        <f>INT(HF89)</f>
        <v>-4</v>
      </c>
      <c r="HI90" s="25"/>
      <c r="HJ90" s="16"/>
      <c r="HK90" s="14"/>
      <c r="HL90" s="16"/>
      <c r="HM90" s="16"/>
      <c r="HN90" s="16"/>
      <c r="HO90" s="16"/>
      <c r="HU90" s="102"/>
      <c r="HV90" s="104"/>
      <c r="HW90" s="102"/>
      <c r="HX90" s="104"/>
      <c r="HY90" s="102">
        <f>INT(HY89)</f>
        <v>1</v>
      </c>
      <c r="IA90" s="102">
        <f>INT(IA89)</f>
        <v>-5</v>
      </c>
      <c r="II90" s="14"/>
      <c r="IL90" s="24"/>
      <c r="IM90"/>
      <c r="IN90"/>
      <c r="IO90" s="102">
        <f>INT(IO89)</f>
        <v>-5</v>
      </c>
      <c r="IP90" s="104"/>
      <c r="IQ90" s="102">
        <f>INT(IQ89)</f>
        <v>-4</v>
      </c>
      <c r="IR90" s="104"/>
      <c r="IS90" s="102">
        <f>INT(IS89)</f>
        <v>-1</v>
      </c>
      <c r="IT90" s="104"/>
      <c r="IU90" s="102"/>
      <c r="IV90"/>
      <c r="IW90"/>
      <c r="IX90" s="16"/>
      <c r="IY90" s="16"/>
      <c r="IZ90" s="16"/>
    </row>
    <row r="91" spans="8:260" ht="15.95" customHeight="1">
      <c r="I91" s="5" t="str">
        <f>LOOKUP(H$27,J$2:L$2,J91:L91)</f>
        <v>Thread Milling</v>
      </c>
      <c r="J91" s="5" t="s">
        <v>754</v>
      </c>
      <c r="K91" s="5" t="s">
        <v>125</v>
      </c>
      <c r="L91" s="40" t="s">
        <v>1216</v>
      </c>
      <c r="M91" s="23" t="s">
        <v>253</v>
      </c>
      <c r="N91" s="5" t="s">
        <v>126</v>
      </c>
      <c r="O91" s="5" t="s">
        <v>583</v>
      </c>
      <c r="P91" s="23" t="s">
        <v>1125</v>
      </c>
      <c r="Q91" s="5" t="s">
        <v>172</v>
      </c>
      <c r="R91" s="5" t="s">
        <v>15</v>
      </c>
      <c r="S91" s="23" t="s">
        <v>1293</v>
      </c>
      <c r="T91" s="5" t="s">
        <v>208</v>
      </c>
      <c r="U91" s="5" t="s">
        <v>666</v>
      </c>
      <c r="V91" s="5" t="s">
        <v>1236</v>
      </c>
      <c r="W91" s="5" t="s">
        <v>1389</v>
      </c>
      <c r="X91" s="38" t="s">
        <v>472</v>
      </c>
      <c r="Y91" s="43" t="s">
        <v>1959</v>
      </c>
      <c r="Z91" s="39" t="s">
        <v>1960</v>
      </c>
      <c r="AA91" s="417" t="s">
        <v>1961</v>
      </c>
      <c r="AB91" s="23" t="s">
        <v>270</v>
      </c>
      <c r="AD91" s="131">
        <v>90</v>
      </c>
      <c r="AE91" s="348">
        <v>1</v>
      </c>
      <c r="AF91" s="348">
        <v>1</v>
      </c>
      <c r="AG91" s="348">
        <v>1</v>
      </c>
      <c r="AH91" s="351" t="s">
        <v>1613</v>
      </c>
      <c r="AI91" s="352">
        <v>6</v>
      </c>
      <c r="AJ91" s="353">
        <v>4.5</v>
      </c>
      <c r="AK91" s="354">
        <v>3</v>
      </c>
      <c r="AL91" s="359">
        <v>1</v>
      </c>
      <c r="AM91" s="356">
        <v>16</v>
      </c>
      <c r="AN91" s="357">
        <v>60</v>
      </c>
      <c r="AO91" s="349">
        <v>5.8</v>
      </c>
      <c r="AP91" s="370">
        <f t="shared" si="33"/>
        <v>90</v>
      </c>
      <c r="AQ91" s="16">
        <f t="shared" si="34"/>
        <v>90</v>
      </c>
      <c r="AR91" s="16" t="b">
        <f t="shared" si="35"/>
        <v>0</v>
      </c>
      <c r="AS91" s="16" t="b">
        <f t="shared" si="36"/>
        <v>0</v>
      </c>
      <c r="AT91" s="16">
        <f t="shared" si="37"/>
        <v>90</v>
      </c>
      <c r="AU91" s="16" t="b">
        <f t="shared" si="38"/>
        <v>0</v>
      </c>
      <c r="BJ91" s="19"/>
      <c r="BK91" s="18"/>
      <c r="BV91" s="8"/>
      <c r="DV91" s="375"/>
      <c r="DZ91" s="375"/>
      <c r="EB91" s="375"/>
      <c r="ED91" s="375"/>
      <c r="EF91" s="375"/>
      <c r="EN91" s="26">
        <v>7</v>
      </c>
      <c r="EO91" s="14" t="s">
        <v>675</v>
      </c>
      <c r="EP91" s="14" t="s">
        <v>674</v>
      </c>
      <c r="EQ91" s="14" t="str">
        <f>SUBSTITUTE(EQ89,",",".")</f>
        <v>-4.063</v>
      </c>
      <c r="ER91" s="14" t="str">
        <f>IF(EQ89=EQ90,". Y"," Y")</f>
        <v xml:space="preserve"> Y</v>
      </c>
      <c r="ES91" s="14" t="str">
        <f>SUBSTITUTE(ES89,",",".")</f>
        <v>3.375</v>
      </c>
      <c r="ET91" s="14" t="str">
        <f>IF(ES89=ES90,". Z"," Z")</f>
        <v xml:space="preserve"> Z</v>
      </c>
      <c r="EU91" s="14" t="str">
        <f>SUBSTITUTE(EU89,",",".")</f>
        <v>0.313</v>
      </c>
      <c r="EV91" s="418" t="s">
        <v>1970</v>
      </c>
      <c r="EW91" s="14">
        <f>$BP$52</f>
        <v>3.4329999999999998</v>
      </c>
      <c r="EX91" s="14"/>
      <c r="EY91" s="14"/>
      <c r="FC91" s="26">
        <v>7</v>
      </c>
      <c r="FD91" s="14" t="s">
        <v>675</v>
      </c>
      <c r="FE91" s="14" t="s">
        <v>674</v>
      </c>
      <c r="FF91" s="14" t="str">
        <f>SUBSTITUTE(FF89,",",".")</f>
        <v>-3.84</v>
      </c>
      <c r="FG91" s="14" t="str">
        <f>IF(FF89=FF90,". Y"," Y")</f>
        <v xml:space="preserve"> Y</v>
      </c>
      <c r="FH91" s="14" t="str">
        <f>SUBSTITUTE(FH89,",",".")</f>
        <v>3.375</v>
      </c>
      <c r="FI91" s="14" t="str">
        <f>IF(FH89=FH90,". Z"," Z")</f>
        <v xml:space="preserve"> Z</v>
      </c>
      <c r="FJ91" s="14" t="str">
        <f>SUBSTITUTE(FJ89,",",".")</f>
        <v>0.313</v>
      </c>
      <c r="FK91" s="418" t="s">
        <v>1970</v>
      </c>
      <c r="FL91" s="14">
        <f>$BK$51</f>
        <v>3.403</v>
      </c>
      <c r="FM91" s="14"/>
      <c r="FN91" s="14"/>
      <c r="FO91" s="16"/>
      <c r="FP91" s="16"/>
      <c r="FQ91" s="16"/>
      <c r="GG91" s="26">
        <v>7</v>
      </c>
      <c r="GH91" s="14" t="s">
        <v>675</v>
      </c>
      <c r="GI91" s="14" t="s">
        <v>674</v>
      </c>
      <c r="GJ91" s="14" t="str">
        <f>SUBSTITUTE(GJ89,",",".")</f>
        <v>-4.082</v>
      </c>
      <c r="GK91" s="14" t="str">
        <f>IF(GJ89=GJ90,". Y"," Y")</f>
        <v xml:space="preserve"> Y</v>
      </c>
      <c r="GL91" s="14" t="str">
        <f>SUBSTITUTE(GL89,",",".")</f>
        <v>-4.072</v>
      </c>
      <c r="GM91" s="14" t="str">
        <f>IF(GL89=GL90,". Z"," Z")</f>
        <v xml:space="preserve"> Z</v>
      </c>
      <c r="GN91" s="14" t="str">
        <f>SUBSTITUTE(GN89,",",".")</f>
        <v>0.313</v>
      </c>
      <c r="GO91" s="14" t="str">
        <f>IF(GN89=GN90,". I"," I")</f>
        <v xml:space="preserve"> I</v>
      </c>
      <c r="GP91" s="14" t="str">
        <f>SUBSTITUTE(GP89,",",".")</f>
        <v>-0.01</v>
      </c>
      <c r="GQ91" s="14" t="str">
        <f>IF(GP89=GP90,". J"," J")</f>
        <v xml:space="preserve"> J</v>
      </c>
      <c r="GR91" s="14" t="str">
        <f>SUBSTITUTE(GR89,",",".")</f>
        <v>-4.072</v>
      </c>
      <c r="GS91" s="14" t="str">
        <f>IF(GR89=GR90,".","")</f>
        <v/>
      </c>
      <c r="GU91" s="26">
        <v>7</v>
      </c>
      <c r="GV91" s="14" t="s">
        <v>675</v>
      </c>
      <c r="GW91" s="14" t="s">
        <v>674</v>
      </c>
      <c r="GX91" s="14" t="str">
        <f>SUBSTITUTE(GX89,",",".")</f>
        <v>-3.86</v>
      </c>
      <c r="GY91" s="14" t="str">
        <f>IF(GX89=GX90,". Y"," Y")</f>
        <v xml:space="preserve"> Y</v>
      </c>
      <c r="GZ91" s="14" t="str">
        <f>SUBSTITUTE(GZ89,",",".")</f>
        <v>-3.85</v>
      </c>
      <c r="HA91" s="14" t="str">
        <f>IF(GZ89=GZ90,". Z"," Z")</f>
        <v xml:space="preserve"> Z</v>
      </c>
      <c r="HB91" s="14" t="str">
        <f>SUBSTITUTE(HB89,",",".")</f>
        <v>0.313</v>
      </c>
      <c r="HC91" s="14" t="str">
        <f>IF(HB89=HB90,". I"," I")</f>
        <v xml:space="preserve"> I</v>
      </c>
      <c r="HD91" s="14" t="str">
        <f>SUBSTITUTE(HD89,",",".")</f>
        <v>-0.01</v>
      </c>
      <c r="HE91" s="14" t="str">
        <f>IF(HD89=HD90,". J"," J")</f>
        <v xml:space="preserve"> J</v>
      </c>
      <c r="HF91" s="14" t="str">
        <f>SUBSTITUTE(HF89,",",".")</f>
        <v>-3.85</v>
      </c>
      <c r="HG91" s="14" t="str">
        <f>IF(HF89=HF90,".","")</f>
        <v/>
      </c>
      <c r="HI91" s="26"/>
      <c r="HJ91" s="14"/>
      <c r="HK91" s="14"/>
      <c r="HL91" s="14"/>
      <c r="HM91" s="16"/>
      <c r="HN91" s="14"/>
      <c r="HO91" s="14"/>
      <c r="HR91" s="26">
        <v>7</v>
      </c>
      <c r="HS91" s="14" t="s">
        <v>675</v>
      </c>
      <c r="HT91" s="14" t="s">
        <v>674</v>
      </c>
      <c r="HU91" s="14">
        <v>0</v>
      </c>
      <c r="HV91" s="14" t="s">
        <v>676</v>
      </c>
      <c r="HW91" s="14">
        <v>0</v>
      </c>
      <c r="HX91" s="186" t="s">
        <v>840</v>
      </c>
      <c r="HY91" s="14" t="str">
        <f>SUBSTITUTE(HY89,",",".")</f>
        <v>1.25</v>
      </c>
      <c r="HZ91" s="14" t="str">
        <f>IF(HY89=HY90,". I"," I")</f>
        <v xml:space="preserve"> I</v>
      </c>
      <c r="IA91" s="14" t="str">
        <f>SUBSTITUTE(IA89,",",".")</f>
        <v>-4.063</v>
      </c>
      <c r="IB91" s="14" t="str">
        <f>IF(IA89=IA90,". J"," J")</f>
        <v xml:space="preserve"> J</v>
      </c>
      <c r="IC91" s="14">
        <v>0</v>
      </c>
      <c r="ID91" s="16" t="s">
        <v>255</v>
      </c>
      <c r="IE91" s="16" t="s">
        <v>841</v>
      </c>
      <c r="IF91" s="176">
        <f>$IF$21</f>
        <v>80</v>
      </c>
      <c r="IG91" s="26"/>
      <c r="IH91" s="14"/>
      <c r="II91" s="14"/>
      <c r="IJ91" s="14"/>
      <c r="IL91" s="26">
        <v>7</v>
      </c>
      <c r="IM91" s="14" t="s">
        <v>1749</v>
      </c>
      <c r="IN91" s="14" t="s">
        <v>674</v>
      </c>
      <c r="IO91" s="14" t="str">
        <f>SUBSTITUTE(IO89,",",".")</f>
        <v>-4.063</v>
      </c>
      <c r="IP91" s="14" t="str">
        <f>IF(IO89=IO90,". Y"," Y")</f>
        <v xml:space="preserve"> Y</v>
      </c>
      <c r="IQ91" s="14" t="str">
        <f>SUBSTITUTE(IQ89,",",".")</f>
        <v>-3.375</v>
      </c>
      <c r="IR91" s="14" t="str">
        <f>IF(IQ89=IQ90,". Z"," Z")</f>
        <v xml:space="preserve"> Z</v>
      </c>
      <c r="IS91" s="14" t="str">
        <f>SUBSTITUTE(IS89,",",".")</f>
        <v>-0.313</v>
      </c>
      <c r="IT91" s="418" t="s">
        <v>1970</v>
      </c>
      <c r="IU91" s="10">
        <f>$IU$21</f>
        <v>3.4329999999999998</v>
      </c>
      <c r="IV91" s="14"/>
      <c r="IW91" s="14"/>
      <c r="IX91" s="16"/>
      <c r="IY91" s="16"/>
      <c r="IZ91" s="16"/>
    </row>
    <row r="92" spans="8:260" ht="15.95" customHeight="1">
      <c r="X92" s="38"/>
      <c r="AA92" s="46"/>
      <c r="AD92" s="131">
        <v>91</v>
      </c>
      <c r="AE92" s="348">
        <v>1</v>
      </c>
      <c r="AF92" s="348">
        <v>1</v>
      </c>
      <c r="AG92" s="348">
        <v>1</v>
      </c>
      <c r="AH92" s="351" t="s">
        <v>1614</v>
      </c>
      <c r="AI92" s="352">
        <v>16</v>
      </c>
      <c r="AJ92" s="353">
        <v>16</v>
      </c>
      <c r="AK92" s="354">
        <v>5</v>
      </c>
      <c r="AL92" s="359">
        <v>2</v>
      </c>
      <c r="AM92" s="356">
        <v>32</v>
      </c>
      <c r="AN92" s="357">
        <v>92</v>
      </c>
      <c r="AO92" s="349">
        <v>19.600000000000001</v>
      </c>
      <c r="AP92" s="370">
        <f t="shared" si="33"/>
        <v>91</v>
      </c>
      <c r="AQ92" s="16" t="b">
        <f t="shared" si="34"/>
        <v>0</v>
      </c>
      <c r="AR92" s="16" t="b">
        <f t="shared" si="35"/>
        <v>0</v>
      </c>
      <c r="AS92" s="16">
        <f t="shared" si="36"/>
        <v>91</v>
      </c>
      <c r="AT92" s="16">
        <f t="shared" si="37"/>
        <v>91</v>
      </c>
      <c r="AU92" s="16" t="b">
        <f t="shared" si="38"/>
        <v>0</v>
      </c>
      <c r="BJ92" s="19"/>
      <c r="BK92" s="18"/>
      <c r="DD92" s="375"/>
      <c r="DE92" s="375"/>
      <c r="DF92" s="375"/>
      <c r="DG92" s="375"/>
      <c r="DH92" s="375"/>
      <c r="DI92" s="375"/>
      <c r="DJ92" s="375"/>
      <c r="DK92" s="375"/>
      <c r="DL92" s="375"/>
      <c r="DM92" s="375"/>
      <c r="DN92" s="375"/>
      <c r="DO92" s="375"/>
      <c r="DP92" s="375"/>
      <c r="DQ92" s="375"/>
      <c r="DR92" s="375"/>
      <c r="DS92" s="375"/>
      <c r="DT92" s="375"/>
      <c r="DU92" s="375"/>
      <c r="DV92" s="375"/>
      <c r="DW92" s="375"/>
      <c r="DX92" s="375"/>
      <c r="DY92" s="375"/>
      <c r="DZ92" s="375"/>
      <c r="EA92" s="375"/>
      <c r="EB92" s="375"/>
      <c r="EC92" s="375"/>
      <c r="ED92" s="375"/>
      <c r="EE92" s="375"/>
      <c r="EF92" s="375"/>
      <c r="EN92" s="26"/>
      <c r="EO92" s="14"/>
      <c r="EP92" s="14"/>
      <c r="EQ92" s="14"/>
      <c r="ER92" s="103">
        <v>0</v>
      </c>
      <c r="ES92" s="103"/>
      <c r="ET92" s="101">
        <f>$BP$55</f>
        <v>-3.375</v>
      </c>
      <c r="EU92" s="14"/>
      <c r="EV92" s="14"/>
      <c r="EW92" s="14"/>
      <c r="EX92" s="14"/>
      <c r="EY92" s="14"/>
      <c r="FC92" s="26"/>
      <c r="FD92" s="14"/>
      <c r="FE92" s="14"/>
      <c r="FF92" s="14"/>
      <c r="FG92" s="103">
        <v>0</v>
      </c>
      <c r="FH92" s="103"/>
      <c r="FI92" s="101">
        <f>$BP$55</f>
        <v>-3.375</v>
      </c>
      <c r="FJ92" s="14"/>
      <c r="FK92" s="14"/>
      <c r="FL92" s="14"/>
      <c r="FM92" s="14"/>
      <c r="FN92" s="14"/>
      <c r="FO92" s="16"/>
      <c r="FP92" s="16"/>
      <c r="FQ92" s="16"/>
      <c r="GJ92" s="423">
        <f>-GJ89</f>
        <v>4.0819999999999999</v>
      </c>
      <c r="GK92" s="423"/>
      <c r="GL92" s="423">
        <f>GJ89+GP89</f>
        <v>-4.0919999999999996</v>
      </c>
      <c r="GM92" s="423"/>
      <c r="GN92" s="423">
        <f>GN86</f>
        <v>0.313</v>
      </c>
      <c r="GO92" s="423"/>
      <c r="GP92" s="423">
        <f>GJ92</f>
        <v>4.0819999999999999</v>
      </c>
      <c r="GQ92" s="423"/>
      <c r="GR92" s="423">
        <f>-GR86</f>
        <v>-0.01</v>
      </c>
      <c r="GX92" s="14">
        <f>-GX89</f>
        <v>3.86</v>
      </c>
      <c r="GZ92" s="14">
        <f>GX89+HD89</f>
        <v>-3.8699999999999997</v>
      </c>
      <c r="HB92" s="14">
        <f>HB86</f>
        <v>0.313</v>
      </c>
      <c r="HD92" s="14">
        <f>GX92</f>
        <v>3.86</v>
      </c>
      <c r="HF92" s="14">
        <f>-HF86</f>
        <v>-0.01</v>
      </c>
      <c r="HI92" s="26"/>
      <c r="HJ92" s="14"/>
      <c r="HK92" s="14"/>
      <c r="HL92" s="14"/>
      <c r="HM92" s="14"/>
      <c r="HN92" s="14"/>
      <c r="HO92" s="14"/>
      <c r="HR92" s="26"/>
      <c r="HS92" s="14"/>
      <c r="HT92" s="14"/>
      <c r="HU92" s="189">
        <f>$HU$22</f>
        <v>-7.0629999999999997</v>
      </c>
      <c r="HV92" s="103"/>
      <c r="HW92" s="103"/>
      <c r="HX92" s="101"/>
      <c r="HY92" s="14">
        <f>$HY$22</f>
        <v>0.625</v>
      </c>
      <c r="HZ92" s="14"/>
      <c r="IG92" s="26"/>
      <c r="IH92" s="14"/>
      <c r="II92" s="14"/>
      <c r="IJ92" s="14"/>
      <c r="IK92" s="14"/>
      <c r="IL92" s="26"/>
      <c r="IM92" s="14"/>
      <c r="IN92" s="14"/>
      <c r="IO92" s="14"/>
      <c r="IP92" s="103">
        <v>0</v>
      </c>
      <c r="IQ92" s="103"/>
      <c r="IR92" s="101">
        <f>$IR$22</f>
        <v>3.375</v>
      </c>
      <c r="IS92" s="14"/>
      <c r="IT92" s="14"/>
      <c r="IU92" s="14"/>
      <c r="IV92" s="14"/>
      <c r="IW92" s="14"/>
      <c r="IX92" s="16"/>
      <c r="IY92" s="16"/>
      <c r="IZ92" s="16"/>
    </row>
    <row r="93" spans="8:260" ht="15.95" customHeight="1">
      <c r="I93" s="5" t="str">
        <f>LOOKUP(H$27,J$2:L$2,J93:L93)</f>
        <v>Please read before use!</v>
      </c>
      <c r="J93" s="5" t="s">
        <v>138</v>
      </c>
      <c r="K93" s="5" t="s">
        <v>1438</v>
      </c>
      <c r="L93" s="40" t="s">
        <v>1218</v>
      </c>
      <c r="M93" s="5" t="s">
        <v>254</v>
      </c>
      <c r="N93" s="5" t="s">
        <v>591</v>
      </c>
      <c r="O93" s="5" t="s">
        <v>584</v>
      </c>
      <c r="P93" s="5" t="s">
        <v>1126</v>
      </c>
      <c r="Q93" s="5" t="s">
        <v>337</v>
      </c>
      <c r="R93" s="5" t="s">
        <v>16</v>
      </c>
      <c r="S93" s="5" t="s">
        <v>1294</v>
      </c>
      <c r="T93" s="5" t="s">
        <v>209</v>
      </c>
      <c r="U93" s="5" t="s">
        <v>667</v>
      </c>
      <c r="V93" s="5" t="s">
        <v>1237</v>
      </c>
      <c r="W93" s="5" t="s">
        <v>592</v>
      </c>
      <c r="X93" s="38" t="s">
        <v>382</v>
      </c>
      <c r="Y93" s="43" t="s">
        <v>1962</v>
      </c>
      <c r="Z93" s="39" t="s">
        <v>1963</v>
      </c>
      <c r="AA93" s="417" t="s">
        <v>1964</v>
      </c>
      <c r="AB93" s="5" t="s">
        <v>1070</v>
      </c>
      <c r="AD93" s="131">
        <v>92</v>
      </c>
      <c r="AE93" s="348">
        <v>1</v>
      </c>
      <c r="AF93" s="348">
        <v>1</v>
      </c>
      <c r="AG93" s="348">
        <v>1</v>
      </c>
      <c r="AH93" s="351" t="s">
        <v>1615</v>
      </c>
      <c r="AI93" s="352">
        <v>16</v>
      </c>
      <c r="AJ93" s="353">
        <v>16</v>
      </c>
      <c r="AK93" s="354">
        <v>5</v>
      </c>
      <c r="AL93" s="359">
        <v>1.5</v>
      </c>
      <c r="AM93" s="356">
        <v>31.5</v>
      </c>
      <c r="AN93" s="357">
        <v>92</v>
      </c>
      <c r="AO93" s="349">
        <v>19.600000000000001</v>
      </c>
      <c r="AP93" s="370">
        <f t="shared" si="33"/>
        <v>92</v>
      </c>
      <c r="AQ93" s="16" t="b">
        <f t="shared" si="34"/>
        <v>0</v>
      </c>
      <c r="AR93" s="16" t="b">
        <f t="shared" si="35"/>
        <v>0</v>
      </c>
      <c r="AS93" s="16">
        <f t="shared" si="36"/>
        <v>92</v>
      </c>
      <c r="AT93" s="16">
        <f t="shared" si="37"/>
        <v>92</v>
      </c>
      <c r="AU93" s="16" t="b">
        <f t="shared" si="38"/>
        <v>0</v>
      </c>
      <c r="BJ93" s="19"/>
      <c r="BK93" s="18"/>
      <c r="BV93" s="8">
        <v>31</v>
      </c>
      <c r="BW93" s="54">
        <f>LOOKUP(BT$54,BX$2:EM$2,BX93:EM93)</f>
        <v>0</v>
      </c>
      <c r="CV93" s="23" t="str">
        <f>$CF$45</f>
        <v>G90 G49 G00 Z200. M5</v>
      </c>
      <c r="CX93" s="23" t="str">
        <f>$CF$39</f>
        <v>G03 X-4.063 Y3.375 Z0.313 R3,433</v>
      </c>
      <c r="CZ93" s="375" t="str">
        <f>$CH$42</f>
        <v>G03 X0. Y0. Z1.25 I-4.063 J0.</v>
      </c>
      <c r="DB93" s="375" t="str">
        <f>$CH$42</f>
        <v>G03 X0. Y0. Z1.25 I-4.063 J0.</v>
      </c>
      <c r="DD93" s="375" t="str">
        <f>$CH$42</f>
        <v>G03 X0. Y0. Z1.25 I-4.063 J0.</v>
      </c>
      <c r="DE93" s="375"/>
      <c r="DF93" s="375"/>
      <c r="DG93" s="375"/>
      <c r="DH93" s="375"/>
      <c r="DI93" s="375"/>
      <c r="DJ93" s="375"/>
      <c r="DK93" s="375"/>
      <c r="DL93" s="375"/>
      <c r="DM93" s="375"/>
      <c r="DN93" s="375"/>
      <c r="DO93" s="375"/>
      <c r="DP93" s="375"/>
      <c r="DQ93" s="375"/>
      <c r="DR93" s="375"/>
      <c r="DS93" s="375"/>
      <c r="DT93" s="375"/>
      <c r="DU93" s="375"/>
      <c r="DV93" s="23" t="str">
        <f>$DF$45</f>
        <v>G90 G49 G00 Z200. M5</v>
      </c>
      <c r="DW93" s="375"/>
      <c r="DX93" s="23" t="str">
        <f>$DF$39</f>
        <v>G02 X-4.063 Y-3.375 Z-0.313 R3,433</v>
      </c>
      <c r="DY93" s="375"/>
      <c r="DZ93" s="375" t="str">
        <f t="shared" si="43"/>
        <v>G02 X0. Y0. Z-1.25 I-4.063 J0.</v>
      </c>
      <c r="EA93" s="375"/>
      <c r="EB93" s="375" t="str">
        <f t="shared" si="44"/>
        <v>G02 X0. Y0. Z-1.25 I-4.063 J0.</v>
      </c>
      <c r="EC93" s="375"/>
      <c r="ED93" s="375" t="str">
        <f t="shared" si="45"/>
        <v>G02 X0. Y0. Z-1.25 I-4.063 J0.</v>
      </c>
      <c r="EE93" s="375"/>
      <c r="EF93" s="375" t="str">
        <f t="shared" si="46"/>
        <v>G02 X0. Y0. Z-1.25 I-4.063 J0.</v>
      </c>
      <c r="ER93" s="102">
        <f>INT(ER92)</f>
        <v>0</v>
      </c>
      <c r="ES93" s="104"/>
      <c r="ET93" s="102">
        <f>INT(ET92)</f>
        <v>-4</v>
      </c>
      <c r="FC93" s="24"/>
      <c r="FD93"/>
      <c r="FE93"/>
      <c r="FF93"/>
      <c r="FG93" s="102">
        <f>INT(FG92)</f>
        <v>0</v>
      </c>
      <c r="FH93" s="104"/>
      <c r="FI93" s="102">
        <f>INT(FI92)</f>
        <v>-4</v>
      </c>
      <c r="FJ93"/>
      <c r="FK93"/>
      <c r="FL93"/>
      <c r="FM93"/>
      <c r="FN93"/>
      <c r="FO93" s="16"/>
      <c r="FP93" s="16"/>
      <c r="FQ93" s="16"/>
      <c r="GJ93" s="424">
        <f>INT(GJ92)</f>
        <v>4</v>
      </c>
      <c r="GK93" s="423"/>
      <c r="GL93" s="424">
        <f>INT(GL92)</f>
        <v>-5</v>
      </c>
      <c r="GM93" s="423"/>
      <c r="GN93" s="424">
        <f>INT(GN92)</f>
        <v>0</v>
      </c>
      <c r="GO93" s="423"/>
      <c r="GP93" s="424">
        <f>INT(GP92)</f>
        <v>4</v>
      </c>
      <c r="GQ93" s="423"/>
      <c r="GR93" s="424">
        <f>INT(GR92)</f>
        <v>-1</v>
      </c>
      <c r="GX93" s="16">
        <f>INT(GX92)</f>
        <v>3</v>
      </c>
      <c r="GZ93" s="16">
        <f>INT(GZ92)</f>
        <v>-4</v>
      </c>
      <c r="HB93" s="16">
        <f>INT(HB92)</f>
        <v>0</v>
      </c>
      <c r="HD93" s="16">
        <f>INT(HD92)</f>
        <v>3</v>
      </c>
      <c r="HF93" s="16">
        <f>INT(HF92)</f>
        <v>-1</v>
      </c>
      <c r="HI93" s="25"/>
      <c r="HJ93" s="16"/>
      <c r="HK93" s="14"/>
      <c r="HL93" s="16"/>
      <c r="HM93" s="16"/>
      <c r="HN93" s="16"/>
      <c r="HO93" s="16"/>
      <c r="HU93" s="102">
        <f>INT(HU92)</f>
        <v>-8</v>
      </c>
      <c r="HV93" s="102"/>
      <c r="HW93" s="104"/>
      <c r="HX93" s="102"/>
      <c r="HY93" s="102">
        <f>INT(HY92)</f>
        <v>0</v>
      </c>
      <c r="II93" s="10"/>
      <c r="IL93" s="24"/>
      <c r="IM93"/>
      <c r="IN93"/>
      <c r="IO93"/>
      <c r="IP93" s="102">
        <f>INT(IP92)</f>
        <v>0</v>
      </c>
      <c r="IQ93" s="104"/>
      <c r="IR93" s="102">
        <f>INT(IR92)</f>
        <v>3</v>
      </c>
      <c r="IS93"/>
      <c r="IT93"/>
      <c r="IU93"/>
      <c r="IV93"/>
      <c r="IW93"/>
      <c r="IX93" s="16"/>
      <c r="IY93" s="16"/>
      <c r="IZ93" s="16"/>
    </row>
    <row r="94" spans="8:260" ht="15.95" customHeight="1">
      <c r="AD94" s="131">
        <v>93</v>
      </c>
      <c r="AE94" s="348">
        <v>1</v>
      </c>
      <c r="AF94" s="348">
        <v>1</v>
      </c>
      <c r="AG94" s="348">
        <v>1</v>
      </c>
      <c r="AH94" s="351" t="s">
        <v>1616</v>
      </c>
      <c r="AI94" s="352">
        <v>16</v>
      </c>
      <c r="AJ94" s="353">
        <v>16</v>
      </c>
      <c r="AK94" s="354">
        <v>5</v>
      </c>
      <c r="AL94" s="359">
        <v>1</v>
      </c>
      <c r="AM94" s="356">
        <v>31</v>
      </c>
      <c r="AN94" s="357">
        <v>92</v>
      </c>
      <c r="AO94" s="349">
        <v>19.8</v>
      </c>
      <c r="AP94" s="370">
        <f t="shared" si="33"/>
        <v>93</v>
      </c>
      <c r="AQ94" s="16" t="b">
        <f t="shared" si="34"/>
        <v>0</v>
      </c>
      <c r="AR94" s="16" t="b">
        <f t="shared" si="35"/>
        <v>0</v>
      </c>
      <c r="AS94" s="16">
        <f t="shared" si="36"/>
        <v>93</v>
      </c>
      <c r="AT94" s="16">
        <f t="shared" si="37"/>
        <v>93</v>
      </c>
      <c r="AU94" s="16" t="b">
        <f t="shared" si="38"/>
        <v>0</v>
      </c>
      <c r="BJ94" s="19"/>
      <c r="BK94" s="18"/>
      <c r="DZ94" s="375"/>
      <c r="EB94" s="375"/>
      <c r="ED94" s="375"/>
      <c r="EF94" s="375"/>
      <c r="EN94" s="26">
        <v>8</v>
      </c>
      <c r="EO94" s="14" t="s">
        <v>854</v>
      </c>
      <c r="EP94" s="14" t="s">
        <v>671</v>
      </c>
      <c r="EQ94" s="14" t="s">
        <v>674</v>
      </c>
      <c r="ER94" s="14" t="str">
        <f>SUBSTITUTE(ER92,",",".")</f>
        <v>0</v>
      </c>
      <c r="ES94" s="14" t="str">
        <f>IF(ER92=ER93,". Y"," Y")</f>
        <v>. Y</v>
      </c>
      <c r="ET94" s="14" t="str">
        <f>SUBSTITUTE(ET92,",",".")</f>
        <v>-3.375</v>
      </c>
      <c r="EU94" s="14" t="str">
        <f>IF(ET92=ET93,".","")</f>
        <v/>
      </c>
      <c r="EV94" s="14"/>
      <c r="EW94" s="14"/>
      <c r="EX94" s="14"/>
      <c r="EY94" s="14"/>
      <c r="FC94" s="26">
        <v>8</v>
      </c>
      <c r="FD94" s="14" t="s">
        <v>854</v>
      </c>
      <c r="FE94" s="14" t="s">
        <v>671</v>
      </c>
      <c r="FF94" s="14" t="s">
        <v>674</v>
      </c>
      <c r="FG94" s="14" t="str">
        <f>SUBSTITUTE(FG92,",",".")</f>
        <v>0</v>
      </c>
      <c r="FH94" s="14" t="str">
        <f>IF(FG92=FG93,". Y"," Y")</f>
        <v>. Y</v>
      </c>
      <c r="FI94" s="14" t="str">
        <f>SUBSTITUTE(FI92,",",".")</f>
        <v>-3.375</v>
      </c>
      <c r="FJ94" s="14" t="str">
        <f>IF(FI92=FI93,".","")</f>
        <v/>
      </c>
      <c r="FK94" s="14"/>
      <c r="FL94" s="14"/>
      <c r="FM94" s="14"/>
      <c r="FN94" s="14"/>
      <c r="FO94" s="16"/>
      <c r="FP94" s="16"/>
      <c r="FQ94" s="16"/>
      <c r="GG94" s="26">
        <v>8</v>
      </c>
      <c r="GH94" s="14" t="s">
        <v>675</v>
      </c>
      <c r="GI94" s="14" t="s">
        <v>674</v>
      </c>
      <c r="GJ94" s="14" t="str">
        <f>SUBSTITUTE(GJ92,",",".")</f>
        <v>4.082</v>
      </c>
      <c r="GK94" s="14" t="str">
        <f>IF(GJ92=GJ93,". Y"," Y")</f>
        <v xml:space="preserve"> Y</v>
      </c>
      <c r="GL94" s="14" t="str">
        <f>SUBSTITUTE(GL92,",",".")</f>
        <v>-4.092</v>
      </c>
      <c r="GM94" s="14" t="str">
        <f>IF(GL92=GL93,". Z"," Z")</f>
        <v xml:space="preserve"> Z</v>
      </c>
      <c r="GN94" s="14" t="str">
        <f>SUBSTITUTE(GN92,",",".")</f>
        <v>0.313</v>
      </c>
      <c r="GO94" s="14" t="str">
        <f>IF(GN92=GN93,". I"," I")</f>
        <v xml:space="preserve"> I</v>
      </c>
      <c r="GP94" s="14" t="str">
        <f>SUBSTITUTE(GP92,",",".")</f>
        <v>4.082</v>
      </c>
      <c r="GQ94" s="14" t="str">
        <f>IF(GP92=GP93,". J"," J")</f>
        <v xml:space="preserve"> J</v>
      </c>
      <c r="GR94" s="14" t="str">
        <f>SUBSTITUTE(GR92,",",".")</f>
        <v>-0.01</v>
      </c>
      <c r="GS94" s="14" t="str">
        <f>IF(GR92=GR93,".","")</f>
        <v/>
      </c>
      <c r="GU94" s="26">
        <v>8</v>
      </c>
      <c r="GV94" s="14" t="s">
        <v>675</v>
      </c>
      <c r="GW94" s="14" t="s">
        <v>674</v>
      </c>
      <c r="GX94" s="14" t="str">
        <f>SUBSTITUTE(GX92,",",".")</f>
        <v>3.86</v>
      </c>
      <c r="GY94" s="14" t="str">
        <f>IF(GX92=GX93,". Y"," Y")</f>
        <v xml:space="preserve"> Y</v>
      </c>
      <c r="GZ94" s="14" t="str">
        <f>SUBSTITUTE(GZ92,",",".")</f>
        <v>-3.87</v>
      </c>
      <c r="HA94" s="14" t="str">
        <f>IF(GZ92=GZ93,". Z"," Z")</f>
        <v xml:space="preserve"> Z</v>
      </c>
      <c r="HB94" s="14" t="str">
        <f>SUBSTITUTE(HB92,",",".")</f>
        <v>0.313</v>
      </c>
      <c r="HC94" s="14" t="str">
        <f>IF(HB92=HB93,". I"," I")</f>
        <v xml:space="preserve"> I</v>
      </c>
      <c r="HD94" s="14" t="str">
        <f>SUBSTITUTE(HD92,",",".")</f>
        <v>3.86</v>
      </c>
      <c r="HE94" s="14" t="str">
        <f>IF(HD92=HD93,". J"," J")</f>
        <v xml:space="preserve"> J</v>
      </c>
      <c r="HF94" s="14" t="str">
        <f>SUBSTITUTE(HF92,",",".")</f>
        <v>-0.01</v>
      </c>
      <c r="HG94" s="14" t="str">
        <f>IF(HF92=HF93,".","")</f>
        <v/>
      </c>
      <c r="HI94" s="26"/>
      <c r="HJ94" s="14"/>
      <c r="HK94" s="14"/>
      <c r="HL94" s="14"/>
      <c r="HM94" s="14"/>
      <c r="HN94" s="16"/>
      <c r="HO94" s="16"/>
      <c r="HR94" s="26">
        <v>8</v>
      </c>
      <c r="HS94" s="14" t="s">
        <v>675</v>
      </c>
      <c r="HT94" s="14" t="s">
        <v>674</v>
      </c>
      <c r="HU94" s="14" t="str">
        <f>SUBSTITUTE(HU92,",",".")</f>
        <v>-7.063</v>
      </c>
      <c r="HV94" s="14" t="str">
        <f>IF(HU92=HU93,". Y"," Y")</f>
        <v xml:space="preserve"> Y</v>
      </c>
      <c r="HW94" s="14">
        <v>0</v>
      </c>
      <c r="HX94" s="14" t="str">
        <f>IF(HW92=HW93,". Z"," Z")</f>
        <v>. Z</v>
      </c>
      <c r="HY94" s="14" t="str">
        <f>SUBSTITUTE(HY92,",",".")</f>
        <v>0.625</v>
      </c>
      <c r="HZ94" s="418" t="s">
        <v>1970</v>
      </c>
      <c r="IA94" s="14">
        <f>$IA$24</f>
        <v>3.5310000000000001</v>
      </c>
      <c r="IG94" s="26"/>
      <c r="IH94" s="14"/>
      <c r="II94" s="14"/>
      <c r="IJ94" s="14"/>
      <c r="IK94" s="14"/>
      <c r="IL94" s="26">
        <v>8</v>
      </c>
      <c r="IM94" s="14" t="s">
        <v>854</v>
      </c>
      <c r="IN94" s="14" t="s">
        <v>671</v>
      </c>
      <c r="IO94" s="14" t="s">
        <v>674</v>
      </c>
      <c r="IP94" s="14" t="str">
        <f>SUBSTITUTE(IP92,",",".")</f>
        <v>0</v>
      </c>
      <c r="IQ94" s="14" t="str">
        <f>IF(IP92=IP93,". Y"," Y")</f>
        <v>. Y</v>
      </c>
      <c r="IR94" s="14" t="str">
        <f>SUBSTITUTE(IR92,",",".")</f>
        <v>3.375</v>
      </c>
      <c r="IS94" s="14" t="str">
        <f>IF(IR92=IR93,".","")</f>
        <v/>
      </c>
      <c r="IT94" s="14"/>
      <c r="IU94" s="14"/>
      <c r="IV94" s="14"/>
      <c r="IW94" s="14"/>
      <c r="IX94" s="16"/>
      <c r="IY94" s="16"/>
      <c r="IZ94" s="16"/>
    </row>
    <row r="95" spans="8:260" ht="15.95" customHeight="1">
      <c r="AD95" s="131">
        <v>94</v>
      </c>
      <c r="AE95" s="348">
        <v>1</v>
      </c>
      <c r="AF95" s="348">
        <v>1</v>
      </c>
      <c r="AG95" s="348">
        <v>1</v>
      </c>
      <c r="AH95" s="351" t="s">
        <v>1617</v>
      </c>
      <c r="AI95" s="352">
        <v>14</v>
      </c>
      <c r="AJ95" s="353">
        <v>14</v>
      </c>
      <c r="AK95" s="354">
        <v>5</v>
      </c>
      <c r="AL95" s="359">
        <v>1.5</v>
      </c>
      <c r="AM95" s="356">
        <v>28.5</v>
      </c>
      <c r="AN95" s="357">
        <v>92</v>
      </c>
      <c r="AO95" s="349">
        <v>17.600000000000001</v>
      </c>
      <c r="AP95" s="370">
        <f t="shared" si="33"/>
        <v>94</v>
      </c>
      <c r="AQ95" s="16" t="b">
        <f t="shared" si="34"/>
        <v>0</v>
      </c>
      <c r="AR95" s="16" t="b">
        <f t="shared" si="35"/>
        <v>0</v>
      </c>
      <c r="AS95" s="16">
        <f t="shared" si="36"/>
        <v>94</v>
      </c>
      <c r="AT95" s="16">
        <f t="shared" si="37"/>
        <v>94</v>
      </c>
      <c r="AU95" s="16" t="b">
        <f t="shared" si="38"/>
        <v>0</v>
      </c>
      <c r="BJ95" s="19"/>
      <c r="BK95" s="18"/>
      <c r="EB95" s="375"/>
      <c r="ED95" s="375"/>
      <c r="EF95" s="375"/>
      <c r="EN95" s="26"/>
      <c r="EO95" s="14"/>
      <c r="EP95" s="14"/>
      <c r="EQ95" s="101">
        <f>-ER77-EU83-EU86-EU89</f>
        <v>18.937000000000001</v>
      </c>
      <c r="ER95" s="14"/>
      <c r="ES95" s="14"/>
      <c r="ET95" s="14"/>
      <c r="EU95" s="14"/>
      <c r="EV95" s="14"/>
      <c r="EW95" s="14"/>
      <c r="EX95" s="14"/>
      <c r="EY95" s="14"/>
      <c r="FC95" s="26"/>
      <c r="FD95" s="14"/>
      <c r="FE95" s="14"/>
      <c r="FF95" s="10">
        <f>-FJ83-FJ86-FJ89</f>
        <v>-1.8759999999999999</v>
      </c>
      <c r="FG95" s="14"/>
      <c r="FH95" s="14"/>
      <c r="FI95" s="14"/>
      <c r="FJ95" s="14"/>
      <c r="FK95" s="14"/>
      <c r="FL95" s="14"/>
      <c r="FM95" s="14"/>
      <c r="FN95" s="14"/>
      <c r="FO95" s="16"/>
      <c r="FP95" s="16"/>
      <c r="FQ95" s="16"/>
      <c r="GI95" s="423"/>
      <c r="GJ95" s="423">
        <f>-(GL92+GR92)</f>
        <v>4.1019999999999994</v>
      </c>
      <c r="GK95" s="423"/>
      <c r="GL95" s="423">
        <f>-GL92</f>
        <v>4.0919999999999996</v>
      </c>
      <c r="GM95" s="423"/>
      <c r="GN95" s="423">
        <f>GN86</f>
        <v>0.313</v>
      </c>
      <c r="GO95" s="423"/>
      <c r="GP95" s="423">
        <f>GR86</f>
        <v>0.01</v>
      </c>
      <c r="GQ95" s="423"/>
      <c r="GR95" s="423">
        <f>GL95</f>
        <v>4.0919999999999996</v>
      </c>
      <c r="GS95" s="423"/>
      <c r="GX95" s="14">
        <f>-(GZ92+HF92)</f>
        <v>3.8799999999999994</v>
      </c>
      <c r="GZ95" s="14">
        <f>-GZ92</f>
        <v>3.8699999999999997</v>
      </c>
      <c r="HB95" s="14">
        <f>HB86</f>
        <v>0.313</v>
      </c>
      <c r="HD95" s="14">
        <f>HF86</f>
        <v>0.01</v>
      </c>
      <c r="HF95" s="14">
        <f>GZ95</f>
        <v>3.8699999999999997</v>
      </c>
      <c r="HI95" s="27"/>
      <c r="HJ95" s="14"/>
      <c r="HK95" s="14"/>
      <c r="HL95" s="14"/>
      <c r="HM95" s="14"/>
      <c r="HN95" s="14"/>
      <c r="HO95" s="14"/>
      <c r="HR95" s="26"/>
      <c r="HS95" s="14"/>
      <c r="HT95" s="14"/>
      <c r="HU95" s="14"/>
      <c r="HV95" s="101">
        <f>$HV$25</f>
        <v>3</v>
      </c>
      <c r="HW95" s="103"/>
      <c r="HX95" s="101"/>
      <c r="HY95" s="14"/>
      <c r="HZ95" s="14"/>
      <c r="IA95" s="14"/>
      <c r="ID95" s="16"/>
      <c r="IE95" s="16"/>
      <c r="IF95" s="16"/>
      <c r="IG95" s="26"/>
      <c r="IH95" s="14"/>
      <c r="II95" s="14"/>
      <c r="IJ95" s="10">
        <f>$IJ$25</f>
        <v>-16.875</v>
      </c>
      <c r="IK95" s="14"/>
      <c r="IL95" s="26"/>
      <c r="IM95" s="14"/>
      <c r="IN95" s="14"/>
      <c r="IO95" s="10"/>
      <c r="IP95" s="14"/>
      <c r="IQ95" s="14"/>
      <c r="IR95" s="14">
        <v>200</v>
      </c>
      <c r="IS95" s="14"/>
      <c r="IT95" s="14"/>
      <c r="IU95" s="14"/>
      <c r="IV95" s="14"/>
      <c r="IW95" s="14"/>
      <c r="IX95" s="16"/>
      <c r="IY95" s="16"/>
      <c r="IZ95" s="16"/>
    </row>
    <row r="96" spans="8:260" ht="15.95" customHeight="1">
      <c r="I96" s="5" t="str">
        <f>LOOKUP(H$27,J$2:L$2,J96:L96)</f>
        <v>Thread Milling</v>
      </c>
      <c r="J96" s="5" t="s">
        <v>1222</v>
      </c>
      <c r="K96" s="5" t="s">
        <v>125</v>
      </c>
      <c r="L96" s="40" t="s">
        <v>1223</v>
      </c>
      <c r="M96" s="23" t="s">
        <v>253</v>
      </c>
      <c r="N96" s="5" t="s">
        <v>126</v>
      </c>
      <c r="O96" s="5" t="s">
        <v>583</v>
      </c>
      <c r="P96" s="23" t="s">
        <v>1125</v>
      </c>
      <c r="Q96" s="5" t="s">
        <v>172</v>
      </c>
      <c r="R96" s="5" t="s">
        <v>15</v>
      </c>
      <c r="S96" s="23" t="s">
        <v>1293</v>
      </c>
      <c r="T96" s="5" t="s">
        <v>208</v>
      </c>
      <c r="U96" s="5" t="s">
        <v>666</v>
      </c>
      <c r="V96" s="5" t="s">
        <v>1236</v>
      </c>
      <c r="W96" s="5" t="s">
        <v>1389</v>
      </c>
      <c r="X96" s="38" t="s">
        <v>472</v>
      </c>
      <c r="Y96" s="43" t="s">
        <v>1959</v>
      </c>
      <c r="Z96" s="39" t="s">
        <v>1960</v>
      </c>
      <c r="AA96" s="417" t="s">
        <v>1961</v>
      </c>
      <c r="AB96" s="23" t="s">
        <v>270</v>
      </c>
      <c r="AD96" s="131">
        <v>95</v>
      </c>
      <c r="AE96" s="348">
        <v>1</v>
      </c>
      <c r="AF96" s="348">
        <v>1</v>
      </c>
      <c r="AG96" s="348">
        <v>1</v>
      </c>
      <c r="AH96" s="351" t="s">
        <v>1618</v>
      </c>
      <c r="AI96" s="352">
        <v>14</v>
      </c>
      <c r="AJ96" s="353">
        <v>14</v>
      </c>
      <c r="AK96" s="354">
        <v>5</v>
      </c>
      <c r="AL96" s="359">
        <v>1</v>
      </c>
      <c r="AM96" s="356">
        <v>28</v>
      </c>
      <c r="AN96" s="357">
        <v>92</v>
      </c>
      <c r="AO96" s="349">
        <v>17.8</v>
      </c>
      <c r="AP96" s="370">
        <f t="shared" si="33"/>
        <v>95</v>
      </c>
      <c r="AQ96" s="16" t="b">
        <f t="shared" si="34"/>
        <v>0</v>
      </c>
      <c r="AR96" s="16" t="b">
        <f t="shared" si="35"/>
        <v>0</v>
      </c>
      <c r="AS96" s="16">
        <f t="shared" si="36"/>
        <v>95</v>
      </c>
      <c r="AT96" s="16">
        <f t="shared" si="37"/>
        <v>95</v>
      </c>
      <c r="AU96" s="16" t="b">
        <f t="shared" si="38"/>
        <v>0</v>
      </c>
      <c r="BJ96" s="19"/>
      <c r="BK96" s="18"/>
      <c r="BV96" s="8">
        <v>32</v>
      </c>
      <c r="BW96" s="54">
        <f>LOOKUP(BT$54,BX$2:EM$2,BX96:EM96)</f>
        <v>0</v>
      </c>
      <c r="CV96" s="23" t="str">
        <f>$CF$48</f>
        <v>M30</v>
      </c>
      <c r="CX96" s="23" t="str">
        <f>$CF$42</f>
        <v>G00 G40 X0. Y-3.375</v>
      </c>
      <c r="CZ96" s="375" t="str">
        <f>$CH$42</f>
        <v>G03 X0. Y0. Z1.25 I-4.063 J0.</v>
      </c>
      <c r="DB96" s="375" t="str">
        <f>$CH$42</f>
        <v>G03 X0. Y0. Z1.25 I-4.063 J0.</v>
      </c>
      <c r="DD96" s="375" t="str">
        <f>$CH$42</f>
        <v>G03 X0. Y0. Z1.25 I-4.063 J0.</v>
      </c>
      <c r="DE96" s="375"/>
      <c r="DF96" s="375"/>
      <c r="DG96" s="375"/>
      <c r="DH96" s="375"/>
      <c r="DI96" s="375"/>
      <c r="DJ96" s="375"/>
      <c r="DK96" s="375"/>
      <c r="DL96" s="375"/>
      <c r="DM96" s="375"/>
      <c r="DN96" s="375"/>
      <c r="DO96" s="375"/>
      <c r="DP96" s="375"/>
      <c r="DQ96" s="375"/>
      <c r="DR96" s="375"/>
      <c r="DS96" s="375"/>
      <c r="DT96" s="375"/>
      <c r="DU96" s="375"/>
      <c r="DV96" s="23" t="str">
        <f>$DF$48</f>
        <v>M30</v>
      </c>
      <c r="DW96" s="375"/>
      <c r="DX96" s="23" t="str">
        <f>$DF$42</f>
        <v>G00 G40 X0. Y3.375</v>
      </c>
      <c r="DY96" s="375"/>
      <c r="DZ96" s="375" t="str">
        <f t="shared" si="43"/>
        <v>G02 X0. Y0. Z-1.25 I-4.063 J0.</v>
      </c>
      <c r="EA96" s="375"/>
      <c r="EB96" s="375" t="str">
        <f t="shared" si="44"/>
        <v>G02 X0. Y0. Z-1.25 I-4.063 J0.</v>
      </c>
      <c r="EC96" s="375"/>
      <c r="ED96" s="375" t="str">
        <f t="shared" si="45"/>
        <v>G02 X0. Y0. Z-1.25 I-4.063 J0.</v>
      </c>
      <c r="EE96" s="375"/>
      <c r="EF96" s="375" t="str">
        <f t="shared" si="46"/>
        <v>G02 X0. Y0. Z-1.25 I-4.063 J0.</v>
      </c>
      <c r="EQ96" s="102">
        <f>INT(EQ95)</f>
        <v>18</v>
      </c>
      <c r="FC96" s="24"/>
      <c r="FD96"/>
      <c r="FE96"/>
      <c r="FF96" s="16">
        <f>INT(FF95)</f>
        <v>-2</v>
      </c>
      <c r="FG96"/>
      <c r="FH96"/>
      <c r="FI96"/>
      <c r="FJ96"/>
      <c r="FK96"/>
      <c r="FL96"/>
      <c r="FM96"/>
      <c r="FN96"/>
      <c r="FO96" s="16"/>
      <c r="FP96" s="16"/>
      <c r="FQ96" s="16"/>
      <c r="GI96" s="423"/>
      <c r="GJ96" s="424">
        <f>INT(GJ95)</f>
        <v>4</v>
      </c>
      <c r="GK96" s="423"/>
      <c r="GL96" s="424">
        <f>INT(GL95)</f>
        <v>4</v>
      </c>
      <c r="GM96" s="423"/>
      <c r="GN96" s="424">
        <f>INT(GN95)</f>
        <v>0</v>
      </c>
      <c r="GO96" s="423"/>
      <c r="GP96" s="424">
        <f>INT(GP95)</f>
        <v>0</v>
      </c>
      <c r="GQ96" s="423"/>
      <c r="GR96" s="424">
        <f>INT(GR95)</f>
        <v>4</v>
      </c>
      <c r="GS96" s="423"/>
      <c r="GX96" s="16">
        <f>INT(GX95)</f>
        <v>3</v>
      </c>
      <c r="GZ96" s="16">
        <f>INT(GZ95)</f>
        <v>3</v>
      </c>
      <c r="HB96" s="16">
        <f>INT(HB95)</f>
        <v>0</v>
      </c>
      <c r="HD96" s="16">
        <f>INT(HD95)</f>
        <v>0</v>
      </c>
      <c r="HF96" s="16">
        <f>INT(HF95)</f>
        <v>3</v>
      </c>
      <c r="HI96" s="25"/>
      <c r="HJ96" s="16"/>
      <c r="HK96" s="14"/>
      <c r="HL96" s="16"/>
      <c r="HM96" s="16"/>
      <c r="HN96" s="16"/>
      <c r="HO96" s="16"/>
      <c r="HV96" s="190">
        <f>INT(HV95)</f>
        <v>3</v>
      </c>
      <c r="HW96" s="104"/>
      <c r="HX96" s="102"/>
      <c r="IA96"/>
      <c r="IB96"/>
      <c r="IC96"/>
      <c r="ID96" s="16"/>
      <c r="IE96" s="16"/>
      <c r="IF96" s="16"/>
      <c r="IG96" s="24"/>
      <c r="IH96"/>
      <c r="II96"/>
      <c r="IJ96" s="16">
        <f>INT(IJ95)</f>
        <v>-17</v>
      </c>
      <c r="IK96"/>
      <c r="IL96" s="24"/>
      <c r="IM96"/>
      <c r="IN96"/>
      <c r="IP96"/>
      <c r="IQ96"/>
      <c r="IR96" s="14">
        <f>INT(IR95)</f>
        <v>200</v>
      </c>
      <c r="IS96"/>
      <c r="IT96"/>
      <c r="IU96"/>
      <c r="IV96"/>
      <c r="IW96"/>
      <c r="IX96" s="16"/>
      <c r="IY96" s="16"/>
      <c r="IZ96" s="16"/>
    </row>
    <row r="97" spans="9:260" ht="15.95" customHeight="1">
      <c r="I97" s="5" t="str">
        <f>LOOKUP(H$27,J$2:L$2,J97:L97)</f>
        <v>Thread Milling and Chamfering</v>
      </c>
      <c r="J97" s="5" t="s">
        <v>1224</v>
      </c>
      <c r="K97" s="191" t="s">
        <v>274</v>
      </c>
      <c r="L97" s="40" t="s">
        <v>275</v>
      </c>
      <c r="M97" s="23" t="s">
        <v>253</v>
      </c>
      <c r="N97" s="5" t="s">
        <v>126</v>
      </c>
      <c r="O97" s="5" t="s">
        <v>583</v>
      </c>
      <c r="P97" s="23" t="s">
        <v>1125</v>
      </c>
      <c r="Q97" s="5" t="s">
        <v>172</v>
      </c>
      <c r="R97" s="5" t="s">
        <v>15</v>
      </c>
      <c r="S97" s="23" t="s">
        <v>1293</v>
      </c>
      <c r="T97" s="5" t="s">
        <v>208</v>
      </c>
      <c r="U97" s="5" t="s">
        <v>666</v>
      </c>
      <c r="V97" s="5" t="s">
        <v>1236</v>
      </c>
      <c r="W97" s="5" t="s">
        <v>1389</v>
      </c>
      <c r="X97" s="38" t="s">
        <v>472</v>
      </c>
      <c r="Y97" s="43" t="s">
        <v>1959</v>
      </c>
      <c r="Z97" s="39" t="s">
        <v>1960</v>
      </c>
      <c r="AA97" s="417" t="s">
        <v>1961</v>
      </c>
      <c r="AB97" s="23" t="s">
        <v>270</v>
      </c>
      <c r="AD97" s="131">
        <v>96</v>
      </c>
      <c r="AE97" s="348">
        <v>1</v>
      </c>
      <c r="AF97" s="348">
        <v>1</v>
      </c>
      <c r="AG97" s="348">
        <v>1</v>
      </c>
      <c r="AH97" s="351" t="s">
        <v>1619</v>
      </c>
      <c r="AI97" s="352">
        <v>12</v>
      </c>
      <c r="AJ97" s="353">
        <v>12</v>
      </c>
      <c r="AK97" s="354">
        <v>4</v>
      </c>
      <c r="AL97" s="359">
        <v>1.5</v>
      </c>
      <c r="AM97" s="356">
        <v>25.5</v>
      </c>
      <c r="AN97" s="357">
        <v>83</v>
      </c>
      <c r="AO97" s="349">
        <v>15.6</v>
      </c>
      <c r="AP97" s="370">
        <f t="shared" si="33"/>
        <v>96</v>
      </c>
      <c r="AQ97" s="16" t="b">
        <f t="shared" si="34"/>
        <v>0</v>
      </c>
      <c r="AR97" s="16" t="b">
        <f t="shared" si="35"/>
        <v>0</v>
      </c>
      <c r="AS97" s="16">
        <f t="shared" si="36"/>
        <v>96</v>
      </c>
      <c r="AT97" s="16">
        <f t="shared" si="37"/>
        <v>96</v>
      </c>
      <c r="AU97" s="16" t="b">
        <f t="shared" si="38"/>
        <v>0</v>
      </c>
      <c r="BJ97" s="19"/>
      <c r="BK97" s="18"/>
      <c r="BV97" s="8"/>
      <c r="DX97" s="375"/>
      <c r="EB97" s="375"/>
      <c r="ED97" s="375"/>
      <c r="EF97" s="375"/>
      <c r="EN97" s="26">
        <v>9</v>
      </c>
      <c r="EO97" s="14" t="s">
        <v>672</v>
      </c>
      <c r="EP97" s="14" t="s">
        <v>673</v>
      </c>
      <c r="EQ97" s="14" t="str">
        <f>SUBSTITUTE(EQ95,",",".")</f>
        <v>18.937</v>
      </c>
      <c r="ER97" s="14" t="str">
        <f>IF(EQ95=EQ96,".","")</f>
        <v/>
      </c>
      <c r="ES97" s="14"/>
      <c r="ET97" s="14"/>
      <c r="EU97" s="14"/>
      <c r="EV97" s="14"/>
      <c r="EW97" s="14"/>
      <c r="EX97" s="14"/>
      <c r="EY97" s="14"/>
      <c r="FC97" s="26">
        <v>9</v>
      </c>
      <c r="FD97" s="14" t="s">
        <v>672</v>
      </c>
      <c r="FE97" s="14" t="s">
        <v>673</v>
      </c>
      <c r="FF97" s="14" t="str">
        <f>SUBSTITUTE(FF95,",",".")</f>
        <v>-1.876</v>
      </c>
      <c r="FG97" s="14" t="str">
        <f>IF(FF95=FF96,".","")</f>
        <v/>
      </c>
      <c r="FH97" s="14"/>
      <c r="FI97" s="14"/>
      <c r="FJ97" s="14"/>
      <c r="FK97" s="14"/>
      <c r="FL97" s="14"/>
      <c r="FM97" s="14"/>
      <c r="FN97" s="14"/>
      <c r="FO97" s="16"/>
      <c r="FP97" s="16"/>
      <c r="FQ97" s="16"/>
      <c r="GG97" s="26">
        <v>9</v>
      </c>
      <c r="GH97" s="14" t="s">
        <v>675</v>
      </c>
      <c r="GI97" s="14" t="s">
        <v>674</v>
      </c>
      <c r="GJ97" s="14" t="str">
        <f>SUBSTITUTE(GJ95,",",".")</f>
        <v>4.102</v>
      </c>
      <c r="GK97" s="14" t="str">
        <f>IF(GJ95=GJ96,". Y"," Y")</f>
        <v xml:space="preserve"> Y</v>
      </c>
      <c r="GL97" s="14" t="str">
        <f>SUBSTITUTE(GL95,",",".")</f>
        <v>4.092</v>
      </c>
      <c r="GM97" s="14" t="str">
        <f>IF(GL95=GL96,". Z"," Z")</f>
        <v xml:space="preserve"> Z</v>
      </c>
      <c r="GN97" s="14" t="str">
        <f>SUBSTITUTE(GN95,",",".")</f>
        <v>0.313</v>
      </c>
      <c r="GO97" s="14" t="str">
        <f>IF(GN95=GN96,". I"," I")</f>
        <v xml:space="preserve"> I</v>
      </c>
      <c r="GP97" s="14" t="str">
        <f>SUBSTITUTE(GP95,",",".")</f>
        <v>0.01</v>
      </c>
      <c r="GQ97" s="14" t="str">
        <f>IF(GP95=GP96,". J"," J")</f>
        <v xml:space="preserve"> J</v>
      </c>
      <c r="GR97" s="14" t="str">
        <f>SUBSTITUTE(GR95,",",".")</f>
        <v>4.092</v>
      </c>
      <c r="GS97" s="14" t="str">
        <f>IF(GR95=GR96,".","")</f>
        <v/>
      </c>
      <c r="GU97" s="26">
        <v>9</v>
      </c>
      <c r="GV97" s="14" t="s">
        <v>675</v>
      </c>
      <c r="GW97" s="14" t="s">
        <v>674</v>
      </c>
      <c r="GX97" s="14" t="str">
        <f>SUBSTITUTE(GX95,",",".")</f>
        <v>3.88</v>
      </c>
      <c r="GY97" s="14" t="str">
        <f>IF(GX95=GX96,". Y"," Y")</f>
        <v xml:space="preserve"> Y</v>
      </c>
      <c r="GZ97" s="14" t="str">
        <f>SUBSTITUTE(GZ95,",",".")</f>
        <v>3.87</v>
      </c>
      <c r="HA97" s="14" t="str">
        <f>IF(GZ95=GZ96,". Z"," Z")</f>
        <v xml:space="preserve"> Z</v>
      </c>
      <c r="HB97" s="14" t="str">
        <f>SUBSTITUTE(HB95,",",".")</f>
        <v>0.313</v>
      </c>
      <c r="HC97" s="14" t="str">
        <f>IF(HB95=HB96,". I"," I")</f>
        <v xml:space="preserve"> I</v>
      </c>
      <c r="HD97" s="14" t="str">
        <f>SUBSTITUTE(HD95,",",".")</f>
        <v>0.01</v>
      </c>
      <c r="HE97" s="14" t="str">
        <f>IF(HD95=HD96,". J"," J")</f>
        <v xml:space="preserve"> J</v>
      </c>
      <c r="HF97" s="14" t="str">
        <f>SUBSTITUTE(HF95,",",".")</f>
        <v>3.87</v>
      </c>
      <c r="HG97" s="14" t="str">
        <f>IF(HF95=HF96,".","")</f>
        <v/>
      </c>
      <c r="HI97" s="26"/>
      <c r="HJ97" s="14"/>
      <c r="HK97" s="14"/>
      <c r="HL97" s="14"/>
      <c r="HM97" s="16"/>
      <c r="HN97" s="14"/>
      <c r="HO97" s="14"/>
      <c r="HR97" s="26">
        <v>9</v>
      </c>
      <c r="HS97" s="14" t="s">
        <v>854</v>
      </c>
      <c r="HT97" s="14" t="s">
        <v>671</v>
      </c>
      <c r="HU97" s="14" t="s">
        <v>1987</v>
      </c>
      <c r="HV97" s="14" t="str">
        <f>SUBSTITUTE(HV95,",",".")</f>
        <v>3</v>
      </c>
      <c r="HW97" s="14" t="str">
        <f>IF(HV95=HV96,". Y"," Y")</f>
        <v>. Y</v>
      </c>
      <c r="HX97" s="14">
        <v>0</v>
      </c>
      <c r="HY97" s="14" t="str">
        <f>IF(HX95=HX96,".","")</f>
        <v>.</v>
      </c>
      <c r="HZ97" s="14"/>
      <c r="IA97" s="14"/>
      <c r="ID97" s="16"/>
      <c r="IE97" s="16"/>
      <c r="IF97" s="16"/>
      <c r="IG97" s="26">
        <v>9</v>
      </c>
      <c r="IH97" s="14" t="s">
        <v>672</v>
      </c>
      <c r="II97" s="14" t="s">
        <v>673</v>
      </c>
      <c r="IJ97" s="14" t="str">
        <f>SUBSTITUTE(IJ95,",",".")</f>
        <v>-16.875</v>
      </c>
      <c r="IK97" s="14" t="str">
        <f>IF(IJ95=IJ96,".","")</f>
        <v/>
      </c>
      <c r="IL97" s="26">
        <v>9</v>
      </c>
      <c r="IM97" s="14" t="s">
        <v>446</v>
      </c>
      <c r="IN97" s="14" t="s">
        <v>872</v>
      </c>
      <c r="IO97" s="14"/>
      <c r="IP97" s="14" t="s">
        <v>1752</v>
      </c>
      <c r="IQ97" s="14" t="s">
        <v>1968</v>
      </c>
      <c r="IR97" s="14" t="str">
        <f>SUBSTITUTE(IR95,",",".")</f>
        <v>200</v>
      </c>
      <c r="IS97" s="418" t="str">
        <f>IF(IR95=IR96,". D0"," D0")</f>
        <v>. D0</v>
      </c>
      <c r="IT97" s="14"/>
      <c r="IU97" s="14"/>
      <c r="IV97" s="14"/>
      <c r="IW97" s="14"/>
      <c r="IX97" s="16"/>
      <c r="IY97" s="16"/>
      <c r="IZ97" s="16"/>
    </row>
    <row r="98" spans="9:260" ht="15.95" customHeight="1">
      <c r="I98" s="5" t="str">
        <f>LOOKUP(H$27,J$2:L$2,J98:L98)</f>
        <v>Drilling, Chamfering and Thread Milling</v>
      </c>
      <c r="J98" s="191" t="s">
        <v>278</v>
      </c>
      <c r="K98" s="5" t="s">
        <v>261</v>
      </c>
      <c r="L98" s="192" t="s">
        <v>262</v>
      </c>
      <c r="M98" s="23" t="s">
        <v>253</v>
      </c>
      <c r="N98" s="5" t="s">
        <v>126</v>
      </c>
      <c r="O98" s="5" t="s">
        <v>583</v>
      </c>
      <c r="P98" s="23" t="s">
        <v>1125</v>
      </c>
      <c r="Q98" s="5" t="s">
        <v>172</v>
      </c>
      <c r="R98" s="5" t="s">
        <v>15</v>
      </c>
      <c r="S98" s="23" t="s">
        <v>1293</v>
      </c>
      <c r="T98" s="5" t="s">
        <v>208</v>
      </c>
      <c r="U98" s="5" t="s">
        <v>666</v>
      </c>
      <c r="V98" s="5" t="s">
        <v>1236</v>
      </c>
      <c r="W98" s="5" t="s">
        <v>1389</v>
      </c>
      <c r="X98" s="38" t="s">
        <v>472</v>
      </c>
      <c r="Y98" s="43" t="s">
        <v>1959</v>
      </c>
      <c r="Z98" s="39" t="s">
        <v>1960</v>
      </c>
      <c r="AA98" s="417" t="s">
        <v>1961</v>
      </c>
      <c r="AB98" s="23" t="s">
        <v>270</v>
      </c>
      <c r="AD98" s="131">
        <v>97</v>
      </c>
      <c r="AE98" s="348">
        <v>1</v>
      </c>
      <c r="AF98" s="348">
        <v>1</v>
      </c>
      <c r="AG98" s="348">
        <v>1</v>
      </c>
      <c r="AH98" s="351" t="s">
        <v>1620</v>
      </c>
      <c r="AI98" s="352">
        <v>12</v>
      </c>
      <c r="AJ98" s="353">
        <v>12</v>
      </c>
      <c r="AK98" s="354">
        <v>4</v>
      </c>
      <c r="AL98" s="359">
        <v>1</v>
      </c>
      <c r="AM98" s="356">
        <v>25</v>
      </c>
      <c r="AN98" s="357">
        <v>83</v>
      </c>
      <c r="AO98" s="349">
        <v>15.8</v>
      </c>
      <c r="AP98" s="370">
        <f t="shared" si="33"/>
        <v>97</v>
      </c>
      <c r="AQ98" s="16" t="b">
        <f t="shared" si="34"/>
        <v>0</v>
      </c>
      <c r="AR98" s="16" t="b">
        <f t="shared" si="35"/>
        <v>0</v>
      </c>
      <c r="AS98" s="16">
        <f t="shared" si="36"/>
        <v>97</v>
      </c>
      <c r="AT98" s="16">
        <f t="shared" si="37"/>
        <v>97</v>
      </c>
      <c r="AU98" s="16" t="b">
        <f t="shared" si="38"/>
        <v>0</v>
      </c>
      <c r="BJ98" s="19"/>
      <c r="BK98" s="18"/>
      <c r="DX98" s="375"/>
      <c r="EB98" s="375"/>
      <c r="ED98" s="375"/>
      <c r="EF98" s="375"/>
      <c r="EN98" s="26"/>
      <c r="EO98" s="14"/>
      <c r="EP98" s="14"/>
      <c r="EQ98" s="14"/>
      <c r="ER98" s="14"/>
      <c r="ES98" s="14"/>
      <c r="ET98" s="14">
        <v>200</v>
      </c>
      <c r="EU98" s="14"/>
      <c r="EV98" s="14"/>
      <c r="EW98" s="14"/>
      <c r="EX98" s="14"/>
      <c r="EY98" s="14"/>
      <c r="FC98" s="26"/>
      <c r="FD98" s="14"/>
      <c r="FE98" s="14"/>
      <c r="FF98" s="14"/>
      <c r="FG98" s="14"/>
      <c r="FH98" s="14"/>
      <c r="FI98" s="14"/>
      <c r="GI98" s="423"/>
      <c r="GJ98" s="423">
        <f>-GJ95</f>
        <v>-4.1019999999999994</v>
      </c>
      <c r="GK98" s="423"/>
      <c r="GL98" s="425">
        <f>ES89</f>
        <v>3.375</v>
      </c>
      <c r="GM98" s="423"/>
      <c r="GN98" s="423">
        <f>GN86</f>
        <v>0.313</v>
      </c>
      <c r="GO98" s="423"/>
      <c r="GP98" s="423"/>
      <c r="GQ98" s="423"/>
      <c r="GR98" s="423"/>
      <c r="GS98" s="423"/>
      <c r="GX98" s="103">
        <f>-GX95</f>
        <v>-3.8799999999999994</v>
      </c>
      <c r="GY98" s="103"/>
      <c r="GZ98" s="101">
        <f>FH89</f>
        <v>3.375</v>
      </c>
      <c r="HA98" s="103"/>
      <c r="HB98" s="103">
        <f>HB86</f>
        <v>0.313</v>
      </c>
      <c r="HC98" s="103"/>
      <c r="HD98" s="103"/>
      <c r="HI98" s="26"/>
      <c r="HJ98" s="14"/>
      <c r="HK98" s="14"/>
      <c r="HL98" s="14"/>
      <c r="HM98" s="14"/>
      <c r="HN98" s="14"/>
      <c r="HO98" s="14"/>
      <c r="HR98" s="26"/>
      <c r="HS98" s="14"/>
      <c r="HT98" s="14"/>
      <c r="HU98" s="101">
        <f>-HV77-HV80-HY86-HY89-HY92</f>
        <v>19.960999999999999</v>
      </c>
      <c r="HV98" s="14"/>
      <c r="HW98" s="14"/>
      <c r="HX98" s="14"/>
      <c r="HY98" s="14"/>
      <c r="HZ98" s="14"/>
      <c r="IA98" s="14"/>
      <c r="IG98" s="26"/>
      <c r="IH98" s="14"/>
      <c r="II98" s="14"/>
      <c r="IJ98" s="14"/>
      <c r="IK98" s="14"/>
      <c r="IL98" s="26"/>
      <c r="IM98" s="14"/>
      <c r="IN98" s="14"/>
      <c r="IO98" s="14"/>
      <c r="IP98" s="14"/>
      <c r="IQ98" s="14"/>
      <c r="IR98" s="14"/>
      <c r="IS98" s="14"/>
      <c r="IT98" s="14"/>
      <c r="IU98" s="14"/>
      <c r="IV98" s="14"/>
      <c r="IW98" s="14"/>
      <c r="IX98" s="14"/>
      <c r="IY98" s="14"/>
      <c r="IZ98" s="14"/>
    </row>
    <row r="99" spans="9:260" ht="15.95" customHeight="1">
      <c r="AD99" s="131">
        <v>98</v>
      </c>
      <c r="AE99" s="348">
        <v>1</v>
      </c>
      <c r="AF99" s="348">
        <v>1</v>
      </c>
      <c r="AG99" s="348">
        <v>1</v>
      </c>
      <c r="AH99" s="351" t="s">
        <v>1621</v>
      </c>
      <c r="AI99" s="352">
        <v>10</v>
      </c>
      <c r="AJ99" s="353">
        <v>10</v>
      </c>
      <c r="AK99" s="354">
        <v>4</v>
      </c>
      <c r="AL99" s="359">
        <v>1.5</v>
      </c>
      <c r="AM99" s="356">
        <v>22.5</v>
      </c>
      <c r="AN99" s="357">
        <v>83</v>
      </c>
      <c r="AO99" s="349">
        <v>13.6</v>
      </c>
      <c r="AP99" s="370">
        <f t="shared" si="33"/>
        <v>98</v>
      </c>
      <c r="AQ99" s="16" t="b">
        <f t="shared" si="34"/>
        <v>0</v>
      </c>
      <c r="AR99" s="16" t="b">
        <f t="shared" si="35"/>
        <v>0</v>
      </c>
      <c r="AS99" s="16">
        <f t="shared" si="36"/>
        <v>98</v>
      </c>
      <c r="AT99" s="16">
        <f t="shared" si="37"/>
        <v>98</v>
      </c>
      <c r="AU99" s="16" t="b">
        <f t="shared" si="38"/>
        <v>0</v>
      </c>
      <c r="BJ99" s="19"/>
      <c r="BK99" s="18"/>
      <c r="BV99" s="8">
        <v>33</v>
      </c>
      <c r="BW99" s="54">
        <f>LOOKUP(BT$54,BX$2:EM$2,BX99:EM99)</f>
        <v>0</v>
      </c>
      <c r="CX99" s="23" t="str">
        <f>$CF$45</f>
        <v>G90 G49 G00 Z200. M5</v>
      </c>
      <c r="CZ99" s="23" t="str">
        <f>$CF$39</f>
        <v>G03 X-4.063 Y3.375 Z0.313 R3,433</v>
      </c>
      <c r="DB99" s="375" t="str">
        <f>$CH$42</f>
        <v>G03 X0. Y0. Z1.25 I-4.063 J0.</v>
      </c>
      <c r="DD99" s="375" t="str">
        <f>$CH$42</f>
        <v>G03 X0. Y0. Z1.25 I-4.063 J0.</v>
      </c>
      <c r="DE99" s="375"/>
      <c r="DF99" s="375"/>
      <c r="DG99" s="375"/>
      <c r="DH99" s="375"/>
      <c r="DI99" s="375"/>
      <c r="DJ99" s="375"/>
      <c r="DK99" s="375"/>
      <c r="DL99" s="375"/>
      <c r="DM99" s="375"/>
      <c r="DN99" s="375"/>
      <c r="DO99" s="375"/>
      <c r="DP99" s="375"/>
      <c r="DQ99" s="375"/>
      <c r="DR99" s="375"/>
      <c r="DS99" s="375"/>
      <c r="DT99" s="375"/>
      <c r="DU99" s="375"/>
      <c r="DV99" s="375"/>
      <c r="DW99" s="375"/>
      <c r="DX99" s="23" t="str">
        <f>$DF$45</f>
        <v>G90 G49 G00 Z200. M5</v>
      </c>
      <c r="DY99" s="375"/>
      <c r="DZ99" s="23" t="str">
        <f>$DF$39</f>
        <v>G02 X-4.063 Y-3.375 Z-0.313 R3,433</v>
      </c>
      <c r="EA99" s="375"/>
      <c r="EB99" s="375" t="str">
        <f t="shared" si="44"/>
        <v>G02 X0. Y0. Z-1.25 I-4.063 J0.</v>
      </c>
      <c r="EC99" s="375"/>
      <c r="ED99" s="375" t="str">
        <f t="shared" si="45"/>
        <v>G02 X0. Y0. Z-1.25 I-4.063 J0.</v>
      </c>
      <c r="EE99" s="375"/>
      <c r="EF99" s="375" t="str">
        <f t="shared" si="46"/>
        <v>G02 X0. Y0. Z-1.25 I-4.063 J0.</v>
      </c>
      <c r="EN99" s="26"/>
      <c r="EO99" s="14"/>
      <c r="EP99" s="14"/>
      <c r="EQ99" s="14"/>
      <c r="ER99" s="14"/>
      <c r="ES99" s="14"/>
      <c r="ET99" s="14">
        <f>INT(ET98)</f>
        <v>200</v>
      </c>
      <c r="EU99" s="14"/>
      <c r="EV99" s="14"/>
      <c r="EW99" s="14"/>
      <c r="EX99" s="14"/>
      <c r="EY99" s="14"/>
      <c r="FE99" s="14"/>
      <c r="GH99"/>
      <c r="GI99" s="426"/>
      <c r="GJ99" s="424">
        <f>INT(GJ98)</f>
        <v>-5</v>
      </c>
      <c r="GK99" s="426"/>
      <c r="GL99" s="424">
        <f>INT(GL98)</f>
        <v>3</v>
      </c>
      <c r="GM99" s="426"/>
      <c r="GN99" s="424">
        <f>INT(GN98)</f>
        <v>0</v>
      </c>
      <c r="GO99" s="426"/>
      <c r="GP99" s="424"/>
      <c r="GQ99" s="423"/>
      <c r="GR99" s="423"/>
      <c r="GS99" s="423"/>
      <c r="GV99"/>
      <c r="GW99"/>
      <c r="GX99" s="102">
        <f>INT(GX98)</f>
        <v>-4</v>
      </c>
      <c r="GY99" s="104"/>
      <c r="GZ99" s="102">
        <f>INT(GZ98)</f>
        <v>3</v>
      </c>
      <c r="HA99" s="104"/>
      <c r="HB99" s="102">
        <f>INT(HB98)</f>
        <v>0</v>
      </c>
      <c r="HC99" s="104"/>
      <c r="HD99" s="102"/>
      <c r="HI99" s="25"/>
      <c r="HJ99" s="16"/>
      <c r="HK99" s="14"/>
      <c r="HL99" s="16"/>
      <c r="HM99" s="16"/>
      <c r="HN99" s="16"/>
      <c r="HO99" s="16"/>
      <c r="HR99" s="26"/>
      <c r="HU99" s="102">
        <f>INT(HU98)</f>
        <v>19</v>
      </c>
      <c r="IA99"/>
      <c r="II99" s="14"/>
      <c r="IL99" s="24"/>
      <c r="IM99" s="14"/>
      <c r="IN99" s="14"/>
      <c r="IO99" s="14"/>
      <c r="IP99" s="14"/>
      <c r="IQ99" s="14"/>
      <c r="IR99" s="14"/>
      <c r="IS99" s="14"/>
      <c r="IT99" s="14"/>
      <c r="IU99" s="14"/>
      <c r="IV99" s="14"/>
      <c r="IW99" s="14"/>
      <c r="IX99" s="14"/>
      <c r="IY99" s="14"/>
      <c r="IZ99" s="14"/>
    </row>
    <row r="100" spans="9:260" ht="15.95" customHeight="1">
      <c r="J100" s="5" t="s">
        <v>1451</v>
      </c>
      <c r="AD100" s="131">
        <v>99</v>
      </c>
      <c r="AE100" s="348">
        <v>1</v>
      </c>
      <c r="AF100" s="348">
        <v>1</v>
      </c>
      <c r="AG100" s="348">
        <v>1</v>
      </c>
      <c r="AH100" s="351" t="s">
        <v>1622</v>
      </c>
      <c r="AI100" s="352">
        <v>10</v>
      </c>
      <c r="AJ100" s="353">
        <v>10</v>
      </c>
      <c r="AK100" s="354">
        <v>4</v>
      </c>
      <c r="AL100" s="359">
        <v>1</v>
      </c>
      <c r="AM100" s="356">
        <v>22</v>
      </c>
      <c r="AN100" s="357">
        <v>83</v>
      </c>
      <c r="AO100" s="349">
        <v>13.8</v>
      </c>
      <c r="AP100" s="370">
        <f t="shared" si="33"/>
        <v>99</v>
      </c>
      <c r="AQ100" s="16" t="b">
        <f t="shared" si="34"/>
        <v>0</v>
      </c>
      <c r="AR100" s="16" t="b">
        <f t="shared" si="35"/>
        <v>0</v>
      </c>
      <c r="AS100" s="16">
        <f t="shared" si="36"/>
        <v>99</v>
      </c>
      <c r="AT100" s="16">
        <f t="shared" si="37"/>
        <v>99</v>
      </c>
      <c r="AU100" s="16" t="b">
        <f t="shared" si="38"/>
        <v>0</v>
      </c>
      <c r="DB100" s="375"/>
      <c r="EB100" s="375"/>
      <c r="ED100" s="375"/>
      <c r="EF100" s="375"/>
      <c r="EN100" s="26">
        <v>10</v>
      </c>
      <c r="EO100" s="14" t="s">
        <v>1751</v>
      </c>
      <c r="EP100" s="14" t="s">
        <v>1750</v>
      </c>
      <c r="EQ100" s="14"/>
      <c r="ER100" s="14" t="s">
        <v>1752</v>
      </c>
      <c r="ES100" s="14" t="s">
        <v>181</v>
      </c>
      <c r="ET100" s="14" t="str">
        <f>SUBSTITUTE(ET98,",",".")</f>
        <v>200</v>
      </c>
      <c r="EU100" s="418" t="str">
        <f>IF(ET98=ET99,". D0"," D0")</f>
        <v>. D0</v>
      </c>
      <c r="EV100" s="14"/>
      <c r="EW100" s="14"/>
      <c r="EX100" s="14"/>
      <c r="EY100" s="14"/>
      <c r="FC100" s="26"/>
      <c r="FD100" s="14"/>
      <c r="FE100" s="14"/>
      <c r="FF100" s="14"/>
      <c r="FG100" s="14"/>
      <c r="GG100" s="26">
        <v>10</v>
      </c>
      <c r="GH100" s="14" t="s">
        <v>675</v>
      </c>
      <c r="GI100" s="14" t="s">
        <v>674</v>
      </c>
      <c r="GJ100" s="14" t="str">
        <f>SUBSTITUTE(GJ98,",",".")</f>
        <v>-4.102</v>
      </c>
      <c r="GK100" s="14" t="str">
        <f>IF(GJ98=GJ99,". Y"," Y")</f>
        <v xml:space="preserve"> Y</v>
      </c>
      <c r="GL100" s="14" t="str">
        <f>SUBSTITUTE(GL98,",",".")</f>
        <v>3.375</v>
      </c>
      <c r="GM100" s="14" t="str">
        <f>IF(GL98=GL99,". Z"," Z")</f>
        <v xml:space="preserve"> Z</v>
      </c>
      <c r="GN100" s="14" t="str">
        <f>SUBSTITUTE(GN98,",",".")</f>
        <v>0.313</v>
      </c>
      <c r="GO100" s="418" t="s">
        <v>1970</v>
      </c>
      <c r="GP100" s="10">
        <f>$BG$52</f>
        <v>3.4380000000000002</v>
      </c>
      <c r="GU100" s="26">
        <v>10</v>
      </c>
      <c r="GV100" s="14" t="s">
        <v>675</v>
      </c>
      <c r="GW100" s="14" t="s">
        <v>674</v>
      </c>
      <c r="GX100" s="14" t="str">
        <f>SUBSTITUTE(GX98,",",".")</f>
        <v>-3.88</v>
      </c>
      <c r="GY100" s="14" t="str">
        <f>IF(GX98=GX99,". Y"," Y")</f>
        <v xml:space="preserve"> Y</v>
      </c>
      <c r="GZ100" s="14" t="str">
        <f>SUBSTITUTE(GZ98,",",".")</f>
        <v>3.375</v>
      </c>
      <c r="HA100" s="14" t="str">
        <f>IF(GZ98=GZ99,". Z"," Z")</f>
        <v xml:space="preserve"> Z</v>
      </c>
      <c r="HB100" s="14" t="str">
        <f>SUBSTITUTE(HB98,",",".")</f>
        <v>0.313</v>
      </c>
      <c r="HC100" s="418" t="s">
        <v>1970</v>
      </c>
      <c r="HD100" s="10">
        <f>$BG$51</f>
        <v>3.4079999999999999</v>
      </c>
      <c r="HI100" s="26"/>
      <c r="HJ100" s="14"/>
      <c r="HK100" s="14"/>
      <c r="HL100" s="14"/>
      <c r="HM100" s="14"/>
      <c r="HN100" s="16"/>
      <c r="HO100" s="16"/>
      <c r="HR100" s="26">
        <v>10</v>
      </c>
      <c r="HS100" s="14" t="s">
        <v>672</v>
      </c>
      <c r="HT100" s="14" t="s">
        <v>673</v>
      </c>
      <c r="HU100" s="14" t="str">
        <f>SUBSTITUTE(HU98,",",".")</f>
        <v>19.961</v>
      </c>
      <c r="HV100" s="14" t="str">
        <f>IF(HU98=HU99,".","")</f>
        <v/>
      </c>
      <c r="HW100" s="14"/>
      <c r="HX100" s="14"/>
      <c r="HY100" s="14"/>
      <c r="HZ100" s="14"/>
      <c r="IA100" s="14"/>
      <c r="IG100" s="26"/>
      <c r="IH100" s="14"/>
      <c r="II100" s="14"/>
      <c r="IJ100" s="14"/>
      <c r="IK100" s="14"/>
      <c r="IL100" s="26">
        <v>10</v>
      </c>
      <c r="IM100" s="16" t="s">
        <v>885</v>
      </c>
      <c r="IN100" s="14"/>
      <c r="IO100" s="14"/>
      <c r="IP100" s="14"/>
      <c r="IQ100" s="14"/>
      <c r="IR100" s="14"/>
      <c r="IS100" s="14"/>
      <c r="IT100" s="14"/>
      <c r="IU100" s="14"/>
      <c r="IV100" s="14"/>
      <c r="IW100" s="14"/>
      <c r="IX100" s="14"/>
      <c r="IY100" s="14"/>
      <c r="IZ100" s="14"/>
    </row>
    <row r="101" spans="9:260" ht="15.95" customHeight="1">
      <c r="J101" s="5" t="s">
        <v>1452</v>
      </c>
      <c r="AD101" s="131">
        <v>100</v>
      </c>
      <c r="AE101" s="348">
        <v>1</v>
      </c>
      <c r="AF101" s="348">
        <v>1</v>
      </c>
      <c r="AG101" s="348">
        <v>1</v>
      </c>
      <c r="AH101" s="351" t="s">
        <v>1623</v>
      </c>
      <c r="AI101" s="352">
        <v>10</v>
      </c>
      <c r="AJ101" s="353">
        <v>9.5</v>
      </c>
      <c r="AK101" s="354">
        <v>4</v>
      </c>
      <c r="AL101" s="359">
        <v>1.5</v>
      </c>
      <c r="AM101" s="356">
        <v>19.5</v>
      </c>
      <c r="AN101" s="357">
        <v>72</v>
      </c>
      <c r="AO101" s="349">
        <v>11.6</v>
      </c>
      <c r="AP101" s="370">
        <f t="shared" si="33"/>
        <v>100</v>
      </c>
      <c r="AQ101" s="16" t="b">
        <f t="shared" si="34"/>
        <v>0</v>
      </c>
      <c r="AR101" s="16" t="b">
        <f t="shared" si="35"/>
        <v>0</v>
      </c>
      <c r="AS101" s="16">
        <f t="shared" si="36"/>
        <v>100</v>
      </c>
      <c r="AT101" s="16">
        <f t="shared" si="37"/>
        <v>100</v>
      </c>
      <c r="AU101" s="16" t="b">
        <f t="shared" si="38"/>
        <v>0</v>
      </c>
      <c r="ED101" s="375"/>
      <c r="EF101" s="375"/>
      <c r="FC101" s="26"/>
      <c r="FD101" s="14"/>
      <c r="FE101" s="14"/>
      <c r="FF101" s="14"/>
      <c r="FG101" s="14"/>
      <c r="FH101" s="8"/>
      <c r="FI101" s="14"/>
      <c r="HI101" s="26"/>
      <c r="HJ101" s="14"/>
      <c r="HK101" s="14"/>
      <c r="HL101" s="14"/>
      <c r="HM101" s="14"/>
      <c r="HN101" s="8"/>
      <c r="HO101" s="14"/>
      <c r="HS101" s="14"/>
      <c r="HT101" s="14"/>
      <c r="HU101" s="14"/>
      <c r="HV101" s="14"/>
      <c r="HW101" s="14"/>
      <c r="HX101" s="14">
        <v>200</v>
      </c>
      <c r="HY101" s="14"/>
      <c r="HZ101" s="14"/>
      <c r="IA101" s="14"/>
      <c r="IG101" s="26"/>
      <c r="IH101" s="14"/>
      <c r="II101" s="14"/>
      <c r="IJ101" s="14"/>
      <c r="IK101" s="14"/>
      <c r="IL101" s="24"/>
      <c r="IM101" s="14"/>
      <c r="IN101" s="14"/>
      <c r="IO101" s="14"/>
      <c r="IP101" s="14"/>
      <c r="IQ101" s="14"/>
      <c r="IR101" s="14"/>
      <c r="IS101" s="14"/>
      <c r="IT101" s="14"/>
      <c r="IU101" s="14"/>
      <c r="IV101" s="14"/>
      <c r="IW101" s="14"/>
      <c r="IX101" s="14"/>
      <c r="IY101" s="14"/>
      <c r="IZ101" s="14"/>
    </row>
    <row r="102" spans="9:260" ht="15.95" customHeight="1">
      <c r="J102" s="5" t="s">
        <v>1453</v>
      </c>
      <c r="AD102" s="131">
        <v>101</v>
      </c>
      <c r="AE102" s="348">
        <v>1</v>
      </c>
      <c r="AF102" s="348">
        <v>1</v>
      </c>
      <c r="AG102" s="348">
        <v>1</v>
      </c>
      <c r="AH102" s="351" t="s">
        <v>1624</v>
      </c>
      <c r="AI102" s="352">
        <v>10</v>
      </c>
      <c r="AJ102" s="353">
        <v>9.5</v>
      </c>
      <c r="AK102" s="354">
        <v>4</v>
      </c>
      <c r="AL102" s="359">
        <v>1.25</v>
      </c>
      <c r="AM102" s="356">
        <v>18.75</v>
      </c>
      <c r="AN102" s="357">
        <v>72</v>
      </c>
      <c r="AO102" s="349">
        <v>11.8</v>
      </c>
      <c r="AP102" s="370">
        <f t="shared" si="33"/>
        <v>101</v>
      </c>
      <c r="AQ102" s="16" t="b">
        <f t="shared" si="34"/>
        <v>0</v>
      </c>
      <c r="AR102" s="16">
        <f t="shared" si="35"/>
        <v>101</v>
      </c>
      <c r="AS102" s="16">
        <f t="shared" si="36"/>
        <v>101</v>
      </c>
      <c r="AT102" s="16">
        <f t="shared" si="37"/>
        <v>101</v>
      </c>
      <c r="AU102" s="16" t="b">
        <f t="shared" si="38"/>
        <v>0</v>
      </c>
      <c r="BV102" s="8">
        <v>34</v>
      </c>
      <c r="BW102" s="54">
        <f>LOOKUP(BT$54,BX$2:EM$2,BX102:EM102)</f>
        <v>0</v>
      </c>
      <c r="CX102" s="23" t="str">
        <f>$CF$48</f>
        <v>M30</v>
      </c>
      <c r="CZ102" s="23" t="str">
        <f>$CF$42</f>
        <v>G00 G40 X0. Y-3.375</v>
      </c>
      <c r="DB102" s="375" t="str">
        <f>$CH$42</f>
        <v>G03 X0. Y0. Z1.25 I-4.063 J0.</v>
      </c>
      <c r="DD102" s="375" t="str">
        <f>$CH$42</f>
        <v>G03 X0. Y0. Z1.25 I-4.063 J0.</v>
      </c>
      <c r="DE102" s="375"/>
      <c r="DF102" s="375"/>
      <c r="DG102" s="375"/>
      <c r="DH102" s="375"/>
      <c r="DI102" s="375"/>
      <c r="DJ102" s="375"/>
      <c r="DK102" s="375"/>
      <c r="DL102" s="375"/>
      <c r="DM102" s="375"/>
      <c r="DN102" s="375"/>
      <c r="DO102" s="375"/>
      <c r="DP102" s="375"/>
      <c r="DQ102" s="375"/>
      <c r="DR102" s="375"/>
      <c r="DS102" s="375"/>
      <c r="DT102" s="375"/>
      <c r="DU102" s="375"/>
      <c r="DV102" s="375"/>
      <c r="DW102" s="375"/>
      <c r="DX102" s="23" t="str">
        <f>$DF$48</f>
        <v>M30</v>
      </c>
      <c r="DY102" s="375"/>
      <c r="DZ102" s="23" t="str">
        <f>$DF$42</f>
        <v>G00 G40 X0. Y3.375</v>
      </c>
      <c r="EA102" s="375"/>
      <c r="EB102" s="375" t="str">
        <f t="shared" si="44"/>
        <v>G02 X0. Y0. Z-1.25 I-4.063 J0.</v>
      </c>
      <c r="EC102" s="375"/>
      <c r="ED102" s="375" t="str">
        <f t="shared" si="45"/>
        <v>G02 X0. Y0. Z-1.25 I-4.063 J0.</v>
      </c>
      <c r="EE102" s="375"/>
      <c r="EF102" s="375" t="str">
        <f t="shared" si="46"/>
        <v>G02 X0. Y0. Z-1.25 I-4.063 J0.</v>
      </c>
      <c r="HI102" s="25"/>
      <c r="HJ102" s="16"/>
      <c r="HK102" s="16"/>
      <c r="HL102" s="16"/>
      <c r="HM102" s="16"/>
      <c r="HN102" s="16"/>
      <c r="HO102" s="16"/>
      <c r="HS102" s="14"/>
      <c r="HT102" s="14"/>
      <c r="HU102" s="14"/>
      <c r="HV102" s="14"/>
      <c r="HW102" s="14"/>
      <c r="HX102" s="14">
        <f>INT(HX101)</f>
        <v>200</v>
      </c>
      <c r="HY102" s="14"/>
      <c r="HZ102" s="14"/>
      <c r="IA102" s="14"/>
      <c r="IL102" s="24"/>
      <c r="IM102" s="14"/>
      <c r="IN102" s="14"/>
      <c r="IO102" s="14"/>
      <c r="IP102" s="14"/>
      <c r="IQ102" s="14"/>
      <c r="IR102" s="14"/>
      <c r="IS102" s="14"/>
      <c r="IT102" s="14"/>
      <c r="IU102" s="14"/>
      <c r="IV102" s="14"/>
      <c r="IW102" s="14"/>
      <c r="IX102" s="14"/>
      <c r="IY102" s="14"/>
      <c r="IZ102" s="14"/>
    </row>
    <row r="103" spans="9:260" ht="15.95" customHeight="1">
      <c r="J103" s="5" t="s">
        <v>1454</v>
      </c>
      <c r="AD103" s="131">
        <v>102</v>
      </c>
      <c r="AE103" s="348">
        <v>1</v>
      </c>
      <c r="AF103" s="348">
        <v>1</v>
      </c>
      <c r="AG103" s="348">
        <v>1</v>
      </c>
      <c r="AH103" s="351" t="s">
        <v>1625</v>
      </c>
      <c r="AI103" s="352">
        <v>10</v>
      </c>
      <c r="AJ103" s="353">
        <v>9.5</v>
      </c>
      <c r="AK103" s="354">
        <v>4</v>
      </c>
      <c r="AL103" s="359">
        <v>1</v>
      </c>
      <c r="AM103" s="356">
        <v>19</v>
      </c>
      <c r="AN103" s="357">
        <v>72</v>
      </c>
      <c r="AO103" s="349">
        <v>11.8</v>
      </c>
      <c r="AP103" s="370">
        <f t="shared" si="33"/>
        <v>102</v>
      </c>
      <c r="AQ103" s="16" t="b">
        <f t="shared" si="34"/>
        <v>0</v>
      </c>
      <c r="AR103" s="16" t="b">
        <f t="shared" si="35"/>
        <v>0</v>
      </c>
      <c r="AS103" s="16">
        <f t="shared" si="36"/>
        <v>102</v>
      </c>
      <c r="AT103" s="16">
        <f t="shared" si="37"/>
        <v>102</v>
      </c>
      <c r="AU103" s="16" t="b">
        <f t="shared" si="38"/>
        <v>0</v>
      </c>
      <c r="DZ103" s="375"/>
      <c r="ED103" s="375"/>
      <c r="EF103" s="375"/>
      <c r="EN103" s="105">
        <v>11</v>
      </c>
      <c r="EO103" s="16" t="s">
        <v>885</v>
      </c>
      <c r="FC103" s="26"/>
      <c r="FD103" s="14"/>
      <c r="FE103" s="14"/>
      <c r="FF103" s="14"/>
      <c r="FG103" s="14"/>
      <c r="FH103" s="14"/>
      <c r="GG103" s="26"/>
      <c r="HI103" s="26"/>
      <c r="HJ103" s="14"/>
      <c r="HK103" s="14"/>
      <c r="HL103" s="14"/>
      <c r="HM103" s="14"/>
      <c r="HN103" s="14"/>
      <c r="HO103" s="16"/>
      <c r="HR103" s="105">
        <v>11</v>
      </c>
      <c r="HS103" s="14" t="s">
        <v>886</v>
      </c>
      <c r="HT103" s="14" t="s">
        <v>887</v>
      </c>
      <c r="HU103" s="14"/>
      <c r="HV103" s="14" t="s">
        <v>888</v>
      </c>
      <c r="HW103" s="14" t="s">
        <v>1968</v>
      </c>
      <c r="HX103" s="14" t="str">
        <f>SUBSTITUTE(HX101,",",".")</f>
        <v>200</v>
      </c>
      <c r="HY103" s="418" t="str">
        <f>IF(HX101=HX102,". D0"," D0")</f>
        <v>. D0</v>
      </c>
      <c r="HZ103" s="14"/>
      <c r="IA103" s="14"/>
      <c r="IG103" s="26"/>
      <c r="IH103" s="14"/>
      <c r="II103" s="14"/>
      <c r="IJ103" s="14"/>
      <c r="IK103" s="14"/>
      <c r="IL103" s="24"/>
      <c r="IM103" s="14"/>
      <c r="IN103" s="14"/>
      <c r="IO103" s="14"/>
      <c r="IP103" s="14"/>
      <c r="IQ103" s="14"/>
      <c r="IR103" s="14"/>
      <c r="IS103" s="14"/>
      <c r="IT103" s="14"/>
      <c r="IU103" s="14"/>
      <c r="IV103" s="14"/>
      <c r="IW103" s="14"/>
      <c r="IX103" s="14"/>
      <c r="IY103" s="14"/>
      <c r="IZ103" s="14"/>
    </row>
    <row r="104" spans="9:260" ht="15.95" customHeight="1">
      <c r="J104" s="5" t="s">
        <v>1455</v>
      </c>
      <c r="AD104" s="131">
        <v>103</v>
      </c>
      <c r="AE104" s="348">
        <v>1</v>
      </c>
      <c r="AF104" s="348">
        <v>1</v>
      </c>
      <c r="AG104" s="348">
        <v>1</v>
      </c>
      <c r="AH104" s="351" t="s">
        <v>1626</v>
      </c>
      <c r="AI104" s="352">
        <v>8</v>
      </c>
      <c r="AJ104" s="353">
        <v>8</v>
      </c>
      <c r="AK104" s="354">
        <v>4</v>
      </c>
      <c r="AL104" s="359">
        <v>1</v>
      </c>
      <c r="AM104" s="356">
        <v>16</v>
      </c>
      <c r="AN104" s="357">
        <v>63</v>
      </c>
      <c r="AO104" s="349">
        <v>9.8000000000000007</v>
      </c>
      <c r="AP104" s="370">
        <f t="shared" si="33"/>
        <v>103</v>
      </c>
      <c r="AQ104" s="16" t="b">
        <f t="shared" si="34"/>
        <v>0</v>
      </c>
      <c r="AR104" s="16" t="b">
        <f t="shared" si="35"/>
        <v>0</v>
      </c>
      <c r="AS104" s="16" t="b">
        <f t="shared" si="36"/>
        <v>0</v>
      </c>
      <c r="AT104" s="16">
        <f t="shared" si="37"/>
        <v>103</v>
      </c>
      <c r="AU104" s="16" t="b">
        <f t="shared" si="38"/>
        <v>0</v>
      </c>
      <c r="DZ104" s="375"/>
      <c r="ED104" s="375"/>
      <c r="EF104" s="375"/>
      <c r="EO104" s="14"/>
      <c r="EP104" s="14"/>
      <c r="EQ104" s="14"/>
      <c r="ER104" s="14"/>
      <c r="ES104" s="8"/>
      <c r="ET104" s="14"/>
      <c r="EY104" s="14"/>
      <c r="FC104" s="24"/>
      <c r="FD104" s="14"/>
      <c r="FE104" s="14"/>
      <c r="FF104" s="14"/>
      <c r="FG104" s="14"/>
      <c r="FH104" s="8"/>
      <c r="FI104" s="14"/>
      <c r="HJ104" s="14"/>
      <c r="HK104" s="14"/>
      <c r="HL104" s="14"/>
      <c r="HM104" s="14"/>
      <c r="HN104" s="8"/>
      <c r="HO104" s="14"/>
      <c r="IA104"/>
      <c r="IG104" s="24"/>
      <c r="IH104" s="14"/>
      <c r="II104" s="14"/>
      <c r="IJ104" s="14"/>
      <c r="IK104" s="14"/>
      <c r="IL104" s="24"/>
      <c r="IM104" s="14"/>
      <c r="IN104" s="14"/>
      <c r="IO104" s="14"/>
      <c r="IP104" s="14"/>
      <c r="IQ104" s="14"/>
      <c r="IR104" s="14"/>
      <c r="IS104" s="14"/>
      <c r="IT104" s="14"/>
      <c r="IU104" s="14"/>
      <c r="IV104" s="14"/>
      <c r="IW104" s="14"/>
      <c r="IX104" s="14"/>
      <c r="IY104" s="14"/>
      <c r="IZ104" s="14"/>
    </row>
    <row r="105" spans="9:260" ht="15.95" customHeight="1">
      <c r="J105" s="5" t="s">
        <v>1456</v>
      </c>
      <c r="AD105" s="131">
        <v>104</v>
      </c>
      <c r="AE105" s="365">
        <v>1</v>
      </c>
      <c r="AF105" s="365">
        <v>1</v>
      </c>
      <c r="AG105" s="365">
        <v>1</v>
      </c>
      <c r="AH105" s="366" t="s">
        <v>1627</v>
      </c>
      <c r="AI105" s="353">
        <v>6</v>
      </c>
      <c r="AJ105" s="353">
        <v>6</v>
      </c>
      <c r="AK105" s="361">
        <v>3</v>
      </c>
      <c r="AL105" s="359">
        <v>1</v>
      </c>
      <c r="AM105" s="349">
        <v>13</v>
      </c>
      <c r="AN105" s="360">
        <v>57</v>
      </c>
      <c r="AO105" s="349">
        <v>7.8</v>
      </c>
      <c r="AP105" s="370">
        <f t="shared" si="33"/>
        <v>104</v>
      </c>
      <c r="AQ105" s="16">
        <f t="shared" si="34"/>
        <v>104</v>
      </c>
      <c r="AR105" s="16" t="b">
        <f t="shared" si="35"/>
        <v>0</v>
      </c>
      <c r="AS105" s="16" t="b">
        <f t="shared" si="36"/>
        <v>0</v>
      </c>
      <c r="AT105" s="16">
        <f t="shared" si="37"/>
        <v>104</v>
      </c>
      <c r="AU105" s="16" t="b">
        <f t="shared" si="38"/>
        <v>0</v>
      </c>
      <c r="BV105" s="8">
        <v>35</v>
      </c>
      <c r="BW105" s="54">
        <f>LOOKUP(BT$54,BX$2:EM$2,BX105:EM105)</f>
        <v>0</v>
      </c>
      <c r="CZ105" s="23" t="str">
        <f>$CF$45</f>
        <v>G90 G49 G00 Z200. M5</v>
      </c>
      <c r="DB105" s="23" t="str">
        <f>$CF$39</f>
        <v>G03 X-4.063 Y3.375 Z0.313 R3,433</v>
      </c>
      <c r="DD105" s="375" t="str">
        <f>$CH$42</f>
        <v>G03 X0. Y0. Z1.25 I-4.063 J0.</v>
      </c>
      <c r="DE105" s="375"/>
      <c r="DF105" s="375"/>
      <c r="DG105" s="375"/>
      <c r="DH105" s="375"/>
      <c r="DI105" s="375"/>
      <c r="DJ105" s="375"/>
      <c r="DK105" s="375"/>
      <c r="DL105" s="375"/>
      <c r="DM105" s="375"/>
      <c r="DN105" s="375"/>
      <c r="DO105" s="375"/>
      <c r="DP105" s="375"/>
      <c r="DQ105" s="375"/>
      <c r="DR105" s="375"/>
      <c r="DS105" s="375"/>
      <c r="DT105" s="375"/>
      <c r="DU105" s="375"/>
      <c r="DV105" s="375"/>
      <c r="DW105" s="375"/>
      <c r="DX105" s="375"/>
      <c r="DY105" s="375"/>
      <c r="DZ105" s="23" t="str">
        <f>$DF$45</f>
        <v>G90 G49 G00 Z200. M5</v>
      </c>
      <c r="EA105" s="375"/>
      <c r="EB105" s="23" t="str">
        <f>$DF$39</f>
        <v>G02 X-4.063 Y-3.375 Z-0.313 R3,433</v>
      </c>
      <c r="EC105" s="375"/>
      <c r="ED105" s="375" t="str">
        <f t="shared" si="45"/>
        <v>G02 X0. Y0. Z-1.25 I-4.063 J0.</v>
      </c>
      <c r="EE105" s="375"/>
      <c r="EF105" s="375" t="str">
        <f t="shared" si="46"/>
        <v>G02 X0. Y0. Z-1.25 I-4.063 J0.</v>
      </c>
      <c r="EO105" s="16"/>
      <c r="EP105" s="14"/>
      <c r="EQ105" s="16"/>
      <c r="ER105" s="16"/>
      <c r="ES105" s="16"/>
      <c r="ET105" s="14"/>
      <c r="EY105" s="14"/>
      <c r="FC105" s="24"/>
      <c r="FE105" s="10"/>
      <c r="FI105" s="14"/>
      <c r="HJ105" s="16"/>
      <c r="HK105" s="14"/>
      <c r="HL105" s="16"/>
      <c r="HM105" s="16"/>
      <c r="HN105" s="16"/>
      <c r="HO105" s="14"/>
      <c r="IA105"/>
      <c r="IG105" s="24"/>
      <c r="II105" s="10"/>
      <c r="IL105" s="24"/>
      <c r="IM105" s="14"/>
      <c r="IN105" s="14"/>
      <c r="IO105" s="14"/>
      <c r="IP105" s="14"/>
      <c r="IQ105" s="14"/>
      <c r="IR105" s="14"/>
      <c r="IS105" s="14"/>
      <c r="IT105" s="14"/>
      <c r="IU105" s="14"/>
      <c r="IV105" s="14"/>
      <c r="IW105" s="14"/>
      <c r="IX105" s="14"/>
      <c r="IY105" s="14"/>
      <c r="IZ105" s="14"/>
    </row>
    <row r="106" spans="9:260" ht="15.95" customHeight="1">
      <c r="J106" s="5" t="s">
        <v>1457</v>
      </c>
      <c r="AD106" s="131">
        <v>105</v>
      </c>
      <c r="AE106" s="365">
        <v>1</v>
      </c>
      <c r="AF106" s="365">
        <v>1</v>
      </c>
      <c r="AG106" s="365">
        <v>1</v>
      </c>
      <c r="AH106" s="366" t="s">
        <v>1628</v>
      </c>
      <c r="AI106" s="353">
        <v>6</v>
      </c>
      <c r="AJ106" s="353">
        <v>6</v>
      </c>
      <c r="AK106" s="361">
        <v>3</v>
      </c>
      <c r="AL106" s="359">
        <v>0.75</v>
      </c>
      <c r="AM106" s="349">
        <v>12.75</v>
      </c>
      <c r="AN106" s="360">
        <v>57</v>
      </c>
      <c r="AO106" s="349">
        <v>7.8</v>
      </c>
      <c r="AP106" s="370">
        <f t="shared" si="33"/>
        <v>105</v>
      </c>
      <c r="AQ106" s="16">
        <f t="shared" si="34"/>
        <v>105</v>
      </c>
      <c r="AR106" s="16" t="b">
        <f t="shared" si="35"/>
        <v>0</v>
      </c>
      <c r="AS106" s="16" t="b">
        <f t="shared" si="36"/>
        <v>0</v>
      </c>
      <c r="AT106" s="16">
        <f t="shared" si="37"/>
        <v>105</v>
      </c>
      <c r="AU106" s="16" t="b">
        <f t="shared" si="38"/>
        <v>0</v>
      </c>
      <c r="ED106" s="375"/>
      <c r="EF106" s="375"/>
      <c r="EN106" s="26"/>
      <c r="EO106" s="14"/>
      <c r="EP106" s="14"/>
      <c r="EQ106" s="14"/>
      <c r="ER106" s="16"/>
      <c r="ES106" s="8"/>
      <c r="FC106" s="26"/>
      <c r="FD106" s="14"/>
      <c r="FE106" s="14"/>
      <c r="FF106" s="14"/>
      <c r="FH106" s="8"/>
      <c r="FI106"/>
      <c r="HI106" s="26"/>
      <c r="HJ106" s="14"/>
      <c r="HK106" s="14"/>
      <c r="HL106" s="14"/>
      <c r="HM106" s="16"/>
      <c r="HN106" s="8"/>
      <c r="HR106" s="105">
        <v>12</v>
      </c>
      <c r="HS106" s="16" t="s">
        <v>885</v>
      </c>
      <c r="IA106"/>
      <c r="IG106" s="26"/>
      <c r="IH106" s="14"/>
      <c r="II106" s="14"/>
      <c r="IJ106" s="14"/>
      <c r="IL106" s="24"/>
      <c r="IM106" s="22" t="s">
        <v>1991</v>
      </c>
      <c r="IN106" s="14"/>
      <c r="IO106" s="14"/>
      <c r="IP106" s="14"/>
      <c r="IQ106" s="14"/>
      <c r="IR106" s="14"/>
      <c r="IS106" s="14"/>
      <c r="IT106" s="14"/>
      <c r="IU106" s="14"/>
      <c r="IV106" s="14"/>
      <c r="IW106" s="14"/>
      <c r="IX106" s="14"/>
      <c r="IY106" s="14"/>
      <c r="IZ106" s="14"/>
    </row>
    <row r="107" spans="9:260" ht="15.95" customHeight="1">
      <c r="AD107" s="131">
        <v>106</v>
      </c>
      <c r="AE107" s="365">
        <v>1</v>
      </c>
      <c r="AF107" s="365">
        <v>1</v>
      </c>
      <c r="AG107" s="365">
        <v>1</v>
      </c>
      <c r="AH107" s="366" t="s">
        <v>1629</v>
      </c>
      <c r="AI107" s="353">
        <v>16</v>
      </c>
      <c r="AJ107" s="353">
        <v>16</v>
      </c>
      <c r="AK107" s="361">
        <v>5</v>
      </c>
      <c r="AL107" s="359">
        <v>2.5</v>
      </c>
      <c r="AM107" s="349">
        <v>42.5</v>
      </c>
      <c r="AN107" s="360">
        <v>105</v>
      </c>
      <c r="AO107" s="349">
        <v>19.600000000000001</v>
      </c>
      <c r="AP107" s="370">
        <f t="shared" si="33"/>
        <v>106</v>
      </c>
      <c r="AQ107" s="16" t="b">
        <f t="shared" si="34"/>
        <v>0</v>
      </c>
      <c r="AR107" s="16" t="b">
        <f t="shared" si="35"/>
        <v>0</v>
      </c>
      <c r="AS107" s="16">
        <f t="shared" si="36"/>
        <v>106</v>
      </c>
      <c r="AT107" s="16">
        <f t="shared" si="37"/>
        <v>106</v>
      </c>
      <c r="AU107" s="16" t="b">
        <f t="shared" si="38"/>
        <v>0</v>
      </c>
      <c r="EF107" s="375"/>
      <c r="EN107" s="25"/>
      <c r="FD107"/>
      <c r="FE107"/>
      <c r="FF107"/>
      <c r="FG107"/>
      <c r="FH107"/>
      <c r="FI107"/>
      <c r="HI107" s="25"/>
      <c r="HR107" s="25"/>
      <c r="IH107"/>
      <c r="II107"/>
      <c r="IJ107"/>
      <c r="IK107"/>
      <c r="IL107" s="24"/>
      <c r="IM107" s="14"/>
      <c r="IN107" s="14"/>
      <c r="IO107" s="14"/>
      <c r="IP107" s="14"/>
      <c r="IQ107" s="14"/>
      <c r="IR107" s="14"/>
      <c r="IS107" s="14"/>
      <c r="IT107" s="14"/>
      <c r="IU107" s="14"/>
      <c r="IV107" s="14"/>
      <c r="IW107" s="14"/>
      <c r="IX107" s="14"/>
      <c r="IY107" s="14"/>
      <c r="IZ107" s="14"/>
    </row>
    <row r="108" spans="9:260" ht="15.95" customHeight="1">
      <c r="J108" s="5" t="s">
        <v>1458</v>
      </c>
      <c r="AD108" s="131">
        <v>107</v>
      </c>
      <c r="AE108" s="365">
        <v>1</v>
      </c>
      <c r="AF108" s="365">
        <v>1</v>
      </c>
      <c r="AG108" s="365">
        <v>1</v>
      </c>
      <c r="AH108" s="366" t="s">
        <v>1630</v>
      </c>
      <c r="AI108" s="353">
        <v>14</v>
      </c>
      <c r="AJ108" s="353">
        <v>14</v>
      </c>
      <c r="AK108" s="361">
        <v>5</v>
      </c>
      <c r="AL108" s="359">
        <v>2.5</v>
      </c>
      <c r="AM108" s="349">
        <v>37.5</v>
      </c>
      <c r="AN108" s="360">
        <v>92</v>
      </c>
      <c r="AO108" s="349">
        <v>17.600000000000001</v>
      </c>
      <c r="AP108" s="370">
        <f t="shared" si="33"/>
        <v>107</v>
      </c>
      <c r="AQ108" s="16" t="b">
        <f t="shared" si="34"/>
        <v>0</v>
      </c>
      <c r="AR108" s="16" t="b">
        <f t="shared" si="35"/>
        <v>0</v>
      </c>
      <c r="AS108" s="16">
        <f t="shared" si="36"/>
        <v>107</v>
      </c>
      <c r="AT108" s="16">
        <f t="shared" si="37"/>
        <v>107</v>
      </c>
      <c r="AU108" s="16" t="b">
        <f t="shared" si="38"/>
        <v>0</v>
      </c>
      <c r="BV108" s="8">
        <v>36</v>
      </c>
      <c r="BW108" s="54">
        <f>LOOKUP(BT$54,BX$2:EM$2,BX108:EM108)</f>
        <v>0</v>
      </c>
      <c r="CZ108" s="23" t="str">
        <f>$CF$48</f>
        <v>M30</v>
      </c>
      <c r="DB108" s="23" t="str">
        <f>$CF$42</f>
        <v>G00 G40 X0. Y-3.375</v>
      </c>
      <c r="DD108" s="375" t="str">
        <f>$CH$42</f>
        <v>G03 X0. Y0. Z1.25 I-4.063 J0.</v>
      </c>
      <c r="DE108" s="375"/>
      <c r="DF108" s="375"/>
      <c r="DG108" s="375"/>
      <c r="DH108" s="375"/>
      <c r="DI108" s="375"/>
      <c r="DJ108" s="375"/>
      <c r="DK108" s="375"/>
      <c r="DL108" s="375"/>
      <c r="DM108" s="375"/>
      <c r="DN108" s="375"/>
      <c r="DO108" s="375"/>
      <c r="DP108" s="375"/>
      <c r="DQ108" s="375"/>
      <c r="DR108" s="375"/>
      <c r="DS108" s="375"/>
      <c r="DT108" s="375"/>
      <c r="DU108" s="375"/>
      <c r="DV108" s="375"/>
      <c r="DW108" s="375"/>
      <c r="DX108" s="375"/>
      <c r="DY108" s="375"/>
      <c r="DZ108" s="23" t="str">
        <f>$DF$48</f>
        <v>M30</v>
      </c>
      <c r="EA108" s="375"/>
      <c r="EB108" s="23" t="str">
        <f>$DF$42</f>
        <v>G00 G40 X0. Y3.375</v>
      </c>
      <c r="EC108" s="375"/>
      <c r="ED108" s="375" t="str">
        <f t="shared" si="45"/>
        <v>G02 X0. Y0. Z-1.25 I-4.063 J0.</v>
      </c>
      <c r="EE108" s="375"/>
      <c r="EF108" s="375" t="str">
        <f t="shared" si="46"/>
        <v>G02 X0. Y0. Z-1.25 I-4.063 J0.</v>
      </c>
      <c r="EN108" s="25"/>
      <c r="ET108" s="16"/>
      <c r="FD108"/>
      <c r="FE108"/>
      <c r="FF108"/>
      <c r="FG108"/>
      <c r="FH108"/>
      <c r="HI108" s="25"/>
      <c r="HO108" s="16"/>
      <c r="HR108" s="25"/>
      <c r="HX108" s="16"/>
      <c r="IH108"/>
      <c r="II108"/>
      <c r="IJ108"/>
      <c r="IK108"/>
      <c r="IL108" s="26">
        <v>4</v>
      </c>
      <c r="IM108" s="14" t="s">
        <v>180</v>
      </c>
      <c r="IN108" s="14" t="s">
        <v>1756</v>
      </c>
      <c r="IO108" s="418" t="s">
        <v>644</v>
      </c>
      <c r="IP108" s="14" t="s">
        <v>1350</v>
      </c>
      <c r="IQ108" s="14" t="s">
        <v>1352</v>
      </c>
      <c r="IR108" s="10">
        <f>$IR$38</f>
        <v>3.375</v>
      </c>
      <c r="IS108" s="14" t="s">
        <v>841</v>
      </c>
      <c r="IT108" s="14">
        <f>$IT$38</f>
        <v>35</v>
      </c>
      <c r="IU108" s="14"/>
      <c r="IV108" s="14"/>
      <c r="IW108" s="14"/>
      <c r="IX108" s="16"/>
      <c r="IY108" s="16"/>
      <c r="IZ108" s="16"/>
    </row>
    <row r="109" spans="9:260" ht="15.95" customHeight="1">
      <c r="J109" s="5" t="s">
        <v>1459</v>
      </c>
      <c r="AD109" s="131">
        <v>108</v>
      </c>
      <c r="AE109" s="350">
        <v>1</v>
      </c>
      <c r="AF109" s="350">
        <v>1</v>
      </c>
      <c r="AG109" s="350">
        <v>1</v>
      </c>
      <c r="AH109" s="351" t="s">
        <v>1631</v>
      </c>
      <c r="AI109" s="360">
        <v>12</v>
      </c>
      <c r="AJ109" s="353">
        <v>12</v>
      </c>
      <c r="AK109" s="361">
        <v>4</v>
      </c>
      <c r="AL109" s="359">
        <v>2</v>
      </c>
      <c r="AM109" s="353">
        <v>34</v>
      </c>
      <c r="AN109" s="361">
        <v>92</v>
      </c>
      <c r="AO109" s="349">
        <v>15.6</v>
      </c>
      <c r="AP109" s="370">
        <f t="shared" si="33"/>
        <v>108</v>
      </c>
      <c r="AQ109" s="16" t="b">
        <f t="shared" si="34"/>
        <v>0</v>
      </c>
      <c r="AR109" s="16" t="b">
        <f t="shared" si="35"/>
        <v>0</v>
      </c>
      <c r="AS109" s="16">
        <f t="shared" si="36"/>
        <v>108</v>
      </c>
      <c r="AT109" s="16">
        <f t="shared" si="37"/>
        <v>108</v>
      </c>
      <c r="AU109" s="16" t="b">
        <f t="shared" si="38"/>
        <v>0</v>
      </c>
      <c r="EB109" s="375"/>
      <c r="EF109" s="375"/>
      <c r="EN109" s="25"/>
      <c r="EO109" s="16"/>
      <c r="EP109" s="16"/>
      <c r="EQ109" s="16"/>
      <c r="ER109" s="16"/>
      <c r="ES109" s="16"/>
      <c r="ET109" s="16"/>
      <c r="HI109" s="25"/>
      <c r="HJ109" s="16"/>
      <c r="HK109" s="16"/>
      <c r="HL109" s="16"/>
      <c r="HM109" s="16"/>
      <c r="HN109" s="16"/>
      <c r="HO109" s="16"/>
      <c r="HR109" s="25"/>
      <c r="HS109" s="16"/>
      <c r="HT109" s="16"/>
      <c r="HU109" s="16"/>
      <c r="HV109" s="16"/>
      <c r="HW109" s="16"/>
      <c r="HX109" s="16"/>
      <c r="IL109" s="26"/>
      <c r="IM109" s="14"/>
      <c r="IN109" s="14"/>
      <c r="IO109" s="103">
        <f>$IO$39</f>
        <v>3.84</v>
      </c>
      <c r="IP109" s="103"/>
      <c r="IQ109" s="101">
        <f>$IQ$39</f>
        <v>-3.375</v>
      </c>
      <c r="IR109" s="103"/>
      <c r="IS109" s="103">
        <f>$IS$39</f>
        <v>-0.313</v>
      </c>
      <c r="IT109" s="14"/>
      <c r="IU109" s="14"/>
      <c r="IV109" s="14"/>
      <c r="IW109" s="14"/>
      <c r="IX109" s="16"/>
      <c r="IY109" s="16"/>
      <c r="IZ109" s="16"/>
    </row>
    <row r="110" spans="9:260" ht="15.95" customHeight="1">
      <c r="J110" s="5" t="s">
        <v>1460</v>
      </c>
      <c r="AD110" s="131">
        <v>109</v>
      </c>
      <c r="AE110" s="350">
        <v>1</v>
      </c>
      <c r="AF110" s="350">
        <v>1</v>
      </c>
      <c r="AG110" s="350">
        <v>1</v>
      </c>
      <c r="AH110" s="351" t="s">
        <v>1632</v>
      </c>
      <c r="AI110" s="360">
        <v>10</v>
      </c>
      <c r="AJ110" s="353">
        <v>10</v>
      </c>
      <c r="AK110" s="361">
        <v>4</v>
      </c>
      <c r="AL110" s="359">
        <v>2</v>
      </c>
      <c r="AM110" s="353">
        <v>30</v>
      </c>
      <c r="AN110" s="361">
        <v>83</v>
      </c>
      <c r="AO110" s="349">
        <v>13.6</v>
      </c>
      <c r="AP110" s="370">
        <f t="shared" si="33"/>
        <v>109</v>
      </c>
      <c r="AQ110" s="16" t="b">
        <f t="shared" si="34"/>
        <v>0</v>
      </c>
      <c r="AR110" s="16" t="b">
        <f t="shared" si="35"/>
        <v>0</v>
      </c>
      <c r="AS110" s="16">
        <f t="shared" si="36"/>
        <v>109</v>
      </c>
      <c r="AT110" s="16">
        <f t="shared" si="37"/>
        <v>109</v>
      </c>
      <c r="AU110" s="16" t="b">
        <f t="shared" si="38"/>
        <v>0</v>
      </c>
      <c r="EB110" s="375"/>
      <c r="EF110" s="375"/>
      <c r="EN110" s="25"/>
      <c r="EO110" s="16"/>
      <c r="EP110" s="16"/>
      <c r="EQ110" s="16"/>
      <c r="ER110" s="16"/>
      <c r="ES110" s="16"/>
      <c r="ET110" s="16"/>
      <c r="HI110" s="25"/>
      <c r="HJ110" s="16"/>
      <c r="HK110" s="16"/>
      <c r="HL110" s="16"/>
      <c r="HM110" s="16"/>
      <c r="HN110" s="16"/>
      <c r="HO110" s="16"/>
      <c r="HR110" s="25"/>
      <c r="HS110" s="16"/>
      <c r="HT110" s="16"/>
      <c r="HU110" s="16"/>
      <c r="HV110" s="16"/>
      <c r="HW110" s="16"/>
      <c r="HX110" s="16"/>
      <c r="IO110" s="102">
        <f>INT(IO109)</f>
        <v>3</v>
      </c>
      <c r="IP110" s="102"/>
      <c r="IQ110" s="102">
        <f>INT(IQ109)</f>
        <v>-4</v>
      </c>
      <c r="IR110" s="102"/>
      <c r="IS110" s="102">
        <f>INT(IS109)</f>
        <v>-1</v>
      </c>
      <c r="IX110" s="16"/>
      <c r="IY110" s="16"/>
      <c r="IZ110" s="16"/>
    </row>
    <row r="111" spans="9:260" ht="15.95" customHeight="1">
      <c r="J111" s="5" t="s">
        <v>1461</v>
      </c>
      <c r="AD111" s="131">
        <v>110</v>
      </c>
      <c r="AE111" s="350">
        <v>1</v>
      </c>
      <c r="AF111" s="350">
        <v>1</v>
      </c>
      <c r="AG111" s="350">
        <v>1</v>
      </c>
      <c r="AH111" s="351" t="s">
        <v>1633</v>
      </c>
      <c r="AI111" s="360">
        <v>10</v>
      </c>
      <c r="AJ111" s="353">
        <v>9.5</v>
      </c>
      <c r="AK111" s="361">
        <v>4</v>
      </c>
      <c r="AL111" s="359">
        <v>1.75</v>
      </c>
      <c r="AM111" s="353">
        <v>26.25</v>
      </c>
      <c r="AN111" s="361">
        <v>80</v>
      </c>
      <c r="AO111" s="349">
        <v>11.6</v>
      </c>
      <c r="AP111" s="370">
        <f t="shared" si="33"/>
        <v>110</v>
      </c>
      <c r="AQ111" s="16" t="b">
        <f t="shared" si="34"/>
        <v>0</v>
      </c>
      <c r="AR111" s="16" t="b">
        <f t="shared" si="35"/>
        <v>0</v>
      </c>
      <c r="AS111" s="16">
        <f t="shared" si="36"/>
        <v>110</v>
      </c>
      <c r="AT111" s="16">
        <f t="shared" si="37"/>
        <v>110</v>
      </c>
      <c r="AU111" s="16" t="b">
        <f t="shared" si="38"/>
        <v>0</v>
      </c>
      <c r="BV111" s="8">
        <v>37</v>
      </c>
      <c r="BW111" s="54">
        <f>LOOKUP(BT$54,BX$2:EM$2,BX111:EM111)</f>
        <v>0</v>
      </c>
      <c r="DB111" s="23" t="str">
        <f>$CF$45</f>
        <v>G90 G49 G00 Z200. M5</v>
      </c>
      <c r="DD111" s="23" t="str">
        <f>$CF$39</f>
        <v>G03 X-4.063 Y3.375 Z0.313 R3,433</v>
      </c>
      <c r="EB111" s="23" t="str">
        <f>$DF$45</f>
        <v>G90 G49 G00 Z200. M5</v>
      </c>
      <c r="ED111" s="23" t="str">
        <f>$DF$39</f>
        <v>G02 X-4.063 Y-3.375 Z-0.313 R3,433</v>
      </c>
      <c r="EF111" s="375" t="str">
        <f t="shared" si="46"/>
        <v>G02 X0. Y0. Z-1.25 I-4.063 J0.</v>
      </c>
      <c r="EN111" s="25"/>
      <c r="EO111" s="16"/>
      <c r="EP111" s="16"/>
      <c r="EQ111" s="16"/>
      <c r="ER111" s="16"/>
      <c r="ES111" s="16"/>
      <c r="ET111" s="16"/>
      <c r="HI111" s="25"/>
      <c r="HJ111" s="16"/>
      <c r="HK111" s="16"/>
      <c r="HL111" s="16"/>
      <c r="HM111" s="16"/>
      <c r="HN111" s="16"/>
      <c r="HO111" s="16"/>
      <c r="HR111" s="25"/>
      <c r="HS111" s="16"/>
      <c r="HT111" s="16"/>
      <c r="HU111" s="16"/>
      <c r="HV111" s="16"/>
      <c r="HW111" s="16"/>
      <c r="HX111" s="16"/>
      <c r="IL111" s="26">
        <v>5</v>
      </c>
      <c r="IM111" s="14" t="s">
        <v>1749</v>
      </c>
      <c r="IN111" s="14" t="s">
        <v>674</v>
      </c>
      <c r="IO111" s="14" t="str">
        <f>SUBSTITUTE(IO109,",",".")</f>
        <v>3.84</v>
      </c>
      <c r="IP111" s="14" t="str">
        <f>IF(IO109=IO110,". Y"," Y")</f>
        <v xml:space="preserve"> Y</v>
      </c>
      <c r="IQ111" s="14" t="str">
        <f>SUBSTITUTE(IQ109,",",".")</f>
        <v>-3.375</v>
      </c>
      <c r="IR111" s="14" t="str">
        <f>IF(IQ109=IQ110,". Z"," Z")</f>
        <v xml:space="preserve"> Z</v>
      </c>
      <c r="IS111" s="14" t="str">
        <f>SUBSTITUTE(IS109,",",".")</f>
        <v>-0.313</v>
      </c>
      <c r="IT111" s="418" t="s">
        <v>1970</v>
      </c>
      <c r="IU111" s="14">
        <f>$IU$41</f>
        <v>3.403</v>
      </c>
      <c r="IV111" s="14"/>
      <c r="IW111" s="14"/>
      <c r="IX111" s="14"/>
      <c r="IY111" s="14"/>
      <c r="IZ111" s="14"/>
    </row>
    <row r="112" spans="9:260" ht="15.95" customHeight="1">
      <c r="AD112" s="131">
        <v>111</v>
      </c>
      <c r="AE112" s="350">
        <v>1</v>
      </c>
      <c r="AF112" s="350">
        <v>1</v>
      </c>
      <c r="AG112" s="350">
        <v>1</v>
      </c>
      <c r="AH112" s="351" t="s">
        <v>1634</v>
      </c>
      <c r="AI112" s="360">
        <v>8</v>
      </c>
      <c r="AJ112" s="353">
        <v>7.5</v>
      </c>
      <c r="AK112" s="361">
        <v>4</v>
      </c>
      <c r="AL112" s="359">
        <v>1.5</v>
      </c>
      <c r="AM112" s="353">
        <v>21</v>
      </c>
      <c r="AN112" s="361">
        <v>72</v>
      </c>
      <c r="AO112" s="349">
        <v>9.6</v>
      </c>
      <c r="AP112" s="370">
        <f t="shared" si="33"/>
        <v>111</v>
      </c>
      <c r="AQ112" s="16" t="b">
        <f t="shared" si="34"/>
        <v>0</v>
      </c>
      <c r="AR112" s="16" t="b">
        <f t="shared" si="35"/>
        <v>0</v>
      </c>
      <c r="AS112" s="16">
        <f t="shared" si="36"/>
        <v>111</v>
      </c>
      <c r="AT112" s="16">
        <f t="shared" si="37"/>
        <v>111</v>
      </c>
      <c r="AU112" s="16" t="b">
        <f t="shared" si="38"/>
        <v>0</v>
      </c>
      <c r="EF112" s="375"/>
      <c r="IL112" s="26"/>
      <c r="IM112" s="14"/>
      <c r="IN112" s="14"/>
      <c r="IO112" s="14"/>
      <c r="IP112" s="14"/>
      <c r="IQ112" s="14"/>
      <c r="IR112" s="14"/>
      <c r="IS112" s="101">
        <f>$IS$42</f>
        <v>-1.25</v>
      </c>
      <c r="IT112" s="103"/>
      <c r="IU112" s="103">
        <f>$IU$42</f>
        <v>-3.84</v>
      </c>
      <c r="IV112" s="14"/>
      <c r="IW112" s="14"/>
      <c r="IX112" s="16"/>
      <c r="IY112" s="16"/>
      <c r="IZ112" s="16"/>
    </row>
    <row r="113" spans="30:260" ht="15.95" customHeight="1">
      <c r="AD113" s="131">
        <v>112</v>
      </c>
      <c r="AE113" s="350">
        <v>1</v>
      </c>
      <c r="AF113" s="350">
        <v>1</v>
      </c>
      <c r="AG113" s="350">
        <v>1</v>
      </c>
      <c r="AH113" s="351" t="s">
        <v>1635</v>
      </c>
      <c r="AI113" s="360">
        <v>6</v>
      </c>
      <c r="AJ113" s="353">
        <v>6</v>
      </c>
      <c r="AK113" s="361">
        <v>3</v>
      </c>
      <c r="AL113" s="359">
        <v>1.25</v>
      </c>
      <c r="AM113" s="353">
        <v>17.5</v>
      </c>
      <c r="AN113" s="361">
        <v>65</v>
      </c>
      <c r="AO113" s="349">
        <v>7.8</v>
      </c>
      <c r="AP113" s="370">
        <f t="shared" si="33"/>
        <v>112</v>
      </c>
      <c r="AQ113" s="16">
        <f t="shared" si="34"/>
        <v>112</v>
      </c>
      <c r="AR113" s="16">
        <f t="shared" si="35"/>
        <v>112</v>
      </c>
      <c r="AS113" s="16">
        <f t="shared" si="36"/>
        <v>112</v>
      </c>
      <c r="AT113" s="16">
        <f t="shared" si="37"/>
        <v>112</v>
      </c>
      <c r="AU113" s="16">
        <f t="shared" si="38"/>
        <v>112</v>
      </c>
      <c r="EF113" s="375"/>
      <c r="IL113" s="24"/>
      <c r="IM113"/>
      <c r="IN113"/>
      <c r="IO113"/>
      <c r="IP113"/>
      <c r="IQ113"/>
      <c r="IR113"/>
      <c r="IS113" s="102">
        <f>INT(IS112)</f>
        <v>-2</v>
      </c>
      <c r="IT113" s="104"/>
      <c r="IU113" s="102">
        <f>INT(IU112)</f>
        <v>-4</v>
      </c>
      <c r="IV113"/>
      <c r="IW113"/>
      <c r="IX113" s="16"/>
      <c r="IY113" s="16"/>
      <c r="IZ113" s="16"/>
    </row>
    <row r="114" spans="30:260" ht="15.95" customHeight="1">
      <c r="AD114" s="131">
        <v>113</v>
      </c>
      <c r="AE114" s="350">
        <v>1</v>
      </c>
      <c r="AF114" s="350">
        <v>1</v>
      </c>
      <c r="AG114" s="350">
        <v>1</v>
      </c>
      <c r="AH114" s="351" t="s">
        <v>1636</v>
      </c>
      <c r="AI114" s="360">
        <v>6</v>
      </c>
      <c r="AJ114" s="353">
        <v>4.5</v>
      </c>
      <c r="AK114" s="361">
        <v>3</v>
      </c>
      <c r="AL114" s="359">
        <v>1</v>
      </c>
      <c r="AM114" s="353">
        <v>13</v>
      </c>
      <c r="AN114" s="361">
        <v>57</v>
      </c>
      <c r="AO114" s="349">
        <v>5.8</v>
      </c>
      <c r="AP114" s="370">
        <f t="shared" si="33"/>
        <v>113</v>
      </c>
      <c r="AQ114" s="16">
        <f t="shared" si="34"/>
        <v>113</v>
      </c>
      <c r="AR114" s="16" t="b">
        <f t="shared" si="35"/>
        <v>0</v>
      </c>
      <c r="AS114" s="16" t="b">
        <f t="shared" si="36"/>
        <v>0</v>
      </c>
      <c r="AT114" s="16">
        <f t="shared" si="37"/>
        <v>113</v>
      </c>
      <c r="AU114" s="16" t="b">
        <f t="shared" si="38"/>
        <v>0</v>
      </c>
      <c r="BV114" s="8">
        <v>38</v>
      </c>
      <c r="BW114" s="54">
        <f>LOOKUP(BT$54,BX$2:EM$2,BX114:EM114)</f>
        <v>0</v>
      </c>
      <c r="DB114" s="23" t="str">
        <f>$CF$48</f>
        <v>M30</v>
      </c>
      <c r="DD114" s="23" t="str">
        <f>$CF$42</f>
        <v>G00 G40 X0. Y-3.375</v>
      </c>
      <c r="EB114" s="23" t="str">
        <f>$DF$48</f>
        <v>M30</v>
      </c>
      <c r="ED114" s="23" t="str">
        <f>$DF$42</f>
        <v>G00 G40 X0. Y3.375</v>
      </c>
      <c r="EF114" s="375" t="str">
        <f t="shared" si="46"/>
        <v>G02 X0. Y0. Z-1.25 I-4.063 J0.</v>
      </c>
      <c r="IL114" s="26">
        <v>6</v>
      </c>
      <c r="IM114" s="14" t="s">
        <v>1749</v>
      </c>
      <c r="IN114" s="14" t="s">
        <v>674</v>
      </c>
      <c r="IO114" s="14">
        <v>0</v>
      </c>
      <c r="IP114" s="14" t="s">
        <v>676</v>
      </c>
      <c r="IQ114" s="14">
        <v>0</v>
      </c>
      <c r="IR114" s="14" t="s">
        <v>677</v>
      </c>
      <c r="IS114" s="14" t="str">
        <f>SUBSTITUTE(IS112,",",".")</f>
        <v>-1.25</v>
      </c>
      <c r="IT114" s="14" t="str">
        <f>IF(IS112=IS113,". I"," I")</f>
        <v xml:space="preserve"> I</v>
      </c>
      <c r="IU114" s="14" t="str">
        <f>SUBSTITUTE(IU112,",",".")</f>
        <v>-3.84</v>
      </c>
      <c r="IV114" s="14" t="str">
        <f>IF(IU112=IU113,". J"," J")</f>
        <v xml:space="preserve"> J</v>
      </c>
      <c r="IW114" s="14">
        <v>0</v>
      </c>
      <c r="IX114" s="16" t="s">
        <v>255</v>
      </c>
      <c r="IY114" s="16" t="s">
        <v>841</v>
      </c>
      <c r="IZ114" s="16">
        <f>$IZ$44</f>
        <v>70</v>
      </c>
    </row>
    <row r="115" spans="30:260" ht="15.95" customHeight="1">
      <c r="AD115" s="131">
        <v>114</v>
      </c>
      <c r="AE115" s="350">
        <v>1</v>
      </c>
      <c r="AF115" s="350">
        <v>1</v>
      </c>
      <c r="AG115" s="350">
        <v>1</v>
      </c>
      <c r="AH115" s="351" t="s">
        <v>1637</v>
      </c>
      <c r="AI115" s="360">
        <v>6</v>
      </c>
      <c r="AJ115" s="353">
        <v>3.8</v>
      </c>
      <c r="AK115" s="361">
        <v>3</v>
      </c>
      <c r="AL115" s="359">
        <v>0.8</v>
      </c>
      <c r="AM115" s="353">
        <v>8</v>
      </c>
      <c r="AN115" s="361">
        <v>57</v>
      </c>
      <c r="AO115" s="349">
        <v>4.8</v>
      </c>
      <c r="AP115" s="370">
        <f t="shared" si="33"/>
        <v>114</v>
      </c>
      <c r="AQ115" s="16">
        <f t="shared" si="34"/>
        <v>114</v>
      </c>
      <c r="AR115" s="16" t="b">
        <f t="shared" si="35"/>
        <v>0</v>
      </c>
      <c r="AS115" s="16" t="b">
        <f t="shared" si="36"/>
        <v>0</v>
      </c>
      <c r="AT115" s="16">
        <f t="shared" si="37"/>
        <v>114</v>
      </c>
      <c r="AU115" s="16" t="b">
        <f t="shared" si="38"/>
        <v>0</v>
      </c>
      <c r="ED115" s="375"/>
      <c r="FR115" s="26"/>
      <c r="IL115" s="26"/>
      <c r="IM115" s="14"/>
      <c r="IN115" s="14"/>
      <c r="IO115" s="103">
        <f>$IO$45</f>
        <v>-3.84</v>
      </c>
      <c r="IP115" s="103"/>
      <c r="IQ115" s="101">
        <f>$IQ$45</f>
        <v>-3.375</v>
      </c>
      <c r="IR115" s="103"/>
      <c r="IS115" s="103">
        <f>$IS$45</f>
        <v>-0.313</v>
      </c>
      <c r="IT115" s="103"/>
      <c r="IU115" s="103"/>
      <c r="IV115" s="14"/>
      <c r="IW115" s="14"/>
      <c r="IX115" s="16"/>
      <c r="IY115" s="16"/>
      <c r="IZ115" s="16"/>
    </row>
    <row r="116" spans="30:260" ht="15.95" customHeight="1">
      <c r="AD116" s="131">
        <v>115</v>
      </c>
      <c r="AE116" s="350">
        <v>1</v>
      </c>
      <c r="AF116" s="350">
        <v>1</v>
      </c>
      <c r="AG116" s="350">
        <v>1</v>
      </c>
      <c r="AH116" s="351" t="s">
        <v>1638</v>
      </c>
      <c r="AI116" s="360">
        <v>6</v>
      </c>
      <c r="AJ116" s="353">
        <v>2.9</v>
      </c>
      <c r="AK116" s="361">
        <v>3</v>
      </c>
      <c r="AL116" s="359">
        <v>0.7</v>
      </c>
      <c r="AM116" s="353">
        <v>7</v>
      </c>
      <c r="AN116" s="361">
        <v>57</v>
      </c>
      <c r="AO116" s="349">
        <v>3.8</v>
      </c>
      <c r="AP116" s="370">
        <f t="shared" si="33"/>
        <v>115</v>
      </c>
      <c r="AQ116" s="16">
        <f t="shared" si="34"/>
        <v>115</v>
      </c>
      <c r="AR116" s="16" t="b">
        <f t="shared" si="35"/>
        <v>0</v>
      </c>
      <c r="AS116" s="16" t="b">
        <f t="shared" si="36"/>
        <v>0</v>
      </c>
      <c r="AT116" s="16">
        <f t="shared" si="37"/>
        <v>115</v>
      </c>
      <c r="AU116" s="16" t="b">
        <f t="shared" si="38"/>
        <v>0</v>
      </c>
      <c r="ED116" s="375"/>
      <c r="IL116" s="24"/>
      <c r="IM116"/>
      <c r="IN116"/>
      <c r="IO116" s="102">
        <f>INT(IO115)</f>
        <v>-4</v>
      </c>
      <c r="IP116" s="104"/>
      <c r="IQ116" s="102">
        <f>INT(IQ115)</f>
        <v>-4</v>
      </c>
      <c r="IR116" s="104"/>
      <c r="IS116" s="102">
        <f>INT(IS115)</f>
        <v>-1</v>
      </c>
      <c r="IT116" s="104"/>
      <c r="IU116" s="102"/>
      <c r="IV116"/>
      <c r="IW116"/>
      <c r="IX116" s="16"/>
      <c r="IY116" s="16"/>
      <c r="IZ116" s="16"/>
    </row>
    <row r="117" spans="30:260" ht="15.95" customHeight="1">
      <c r="AD117" s="131">
        <v>116</v>
      </c>
      <c r="AE117" s="350">
        <v>1</v>
      </c>
      <c r="AF117" s="350">
        <v>1</v>
      </c>
      <c r="AG117" s="350">
        <v>1</v>
      </c>
      <c r="AH117" s="351" t="s">
        <v>1639</v>
      </c>
      <c r="AI117" s="360">
        <v>6</v>
      </c>
      <c r="AJ117" s="353">
        <v>2.2000000000000002</v>
      </c>
      <c r="AK117" s="361">
        <v>3</v>
      </c>
      <c r="AL117" s="359">
        <v>0.5</v>
      </c>
      <c r="AM117" s="353">
        <v>5</v>
      </c>
      <c r="AN117" s="361">
        <v>57</v>
      </c>
      <c r="AO117" s="349">
        <v>2.8</v>
      </c>
      <c r="AP117" s="370">
        <f t="shared" si="33"/>
        <v>116</v>
      </c>
      <c r="AQ117" s="16">
        <f t="shared" si="34"/>
        <v>116</v>
      </c>
      <c r="AR117" s="16" t="b">
        <f t="shared" si="35"/>
        <v>0</v>
      </c>
      <c r="AS117" s="16" t="b">
        <f t="shared" si="36"/>
        <v>0</v>
      </c>
      <c r="AT117" s="16">
        <f t="shared" si="37"/>
        <v>116</v>
      </c>
      <c r="AU117" s="16" t="b">
        <f t="shared" si="38"/>
        <v>0</v>
      </c>
      <c r="BV117" s="8">
        <v>39</v>
      </c>
      <c r="BW117" s="54">
        <f>LOOKUP(BT$54,BX$2:EM$2,BX117:EM117)</f>
        <v>0</v>
      </c>
      <c r="DD117" s="23" t="str">
        <f>$CF$45</f>
        <v>G90 G49 G00 Z200. M5</v>
      </c>
      <c r="ED117" s="23" t="str">
        <f>$DF$45</f>
        <v>G90 G49 G00 Z200. M5</v>
      </c>
      <c r="EF117" s="23" t="str">
        <f>$DF$39</f>
        <v>G02 X-4.063 Y-3.375 Z-0.313 R3,433</v>
      </c>
      <c r="IL117" s="26">
        <v>7</v>
      </c>
      <c r="IM117" s="14" t="s">
        <v>1749</v>
      </c>
      <c r="IN117" s="14" t="s">
        <v>674</v>
      </c>
      <c r="IO117" s="14" t="str">
        <f>SUBSTITUTE(IO115,",",".")</f>
        <v>-3.84</v>
      </c>
      <c r="IP117" s="14" t="str">
        <f>IF(IO115=IO116,". Y"," Y")</f>
        <v xml:space="preserve"> Y</v>
      </c>
      <c r="IQ117" s="14" t="str">
        <f>SUBSTITUTE(IQ115,",",".")</f>
        <v>-3.375</v>
      </c>
      <c r="IR117" s="14" t="str">
        <f>IF(IQ115=IQ116,". Z"," Z")</f>
        <v xml:space="preserve"> Z</v>
      </c>
      <c r="IS117" s="14" t="str">
        <f>SUBSTITUTE(IS115,",",".")</f>
        <v>-0.313</v>
      </c>
      <c r="IT117" s="418" t="s">
        <v>1970</v>
      </c>
      <c r="IU117" s="14">
        <f>$IU$47</f>
        <v>3.403</v>
      </c>
      <c r="IV117" s="14"/>
      <c r="IW117" s="14"/>
      <c r="IX117" s="16"/>
      <c r="IY117" s="16"/>
      <c r="IZ117" s="16"/>
    </row>
    <row r="118" spans="30:260" ht="15.95" customHeight="1">
      <c r="AD118" s="131">
        <v>117</v>
      </c>
      <c r="AE118" s="350">
        <v>2</v>
      </c>
      <c r="AF118" s="350">
        <v>1</v>
      </c>
      <c r="AG118" s="350">
        <v>2</v>
      </c>
      <c r="AH118" s="351" t="s">
        <v>1640</v>
      </c>
      <c r="AI118" s="360">
        <v>20</v>
      </c>
      <c r="AJ118" s="353">
        <v>16</v>
      </c>
      <c r="AK118" s="361">
        <v>5</v>
      </c>
      <c r="AL118" s="359">
        <v>10</v>
      </c>
      <c r="AM118" s="353">
        <v>38.020000000000003</v>
      </c>
      <c r="AN118" s="361">
        <v>110</v>
      </c>
      <c r="AO118" s="349">
        <v>18.649999999999999</v>
      </c>
      <c r="AP118" s="370">
        <f t="shared" si="33"/>
        <v>117</v>
      </c>
      <c r="AQ118" s="16" t="b">
        <f t="shared" si="34"/>
        <v>0</v>
      </c>
      <c r="AR118" s="16" t="b">
        <f t="shared" si="35"/>
        <v>0</v>
      </c>
      <c r="AS118" s="16">
        <f t="shared" si="36"/>
        <v>117</v>
      </c>
      <c r="AT118" s="16" t="b">
        <f t="shared" si="37"/>
        <v>0</v>
      </c>
      <c r="AU118" s="16" t="b">
        <f t="shared" si="38"/>
        <v>0</v>
      </c>
      <c r="FR118" s="26"/>
      <c r="FS118" s="201"/>
      <c r="IL118" s="26"/>
      <c r="IM118" s="14"/>
      <c r="IN118" s="14"/>
      <c r="IO118" s="14"/>
      <c r="IP118" s="103">
        <v>0</v>
      </c>
      <c r="IQ118" s="103"/>
      <c r="IR118" s="101">
        <f>$IR$48</f>
        <v>3.375</v>
      </c>
      <c r="IS118" s="14"/>
      <c r="IT118" s="14"/>
      <c r="IU118" s="14"/>
      <c r="IV118" s="14"/>
      <c r="IW118" s="14"/>
      <c r="IX118" s="16"/>
      <c r="IY118" s="16"/>
      <c r="IZ118" s="16"/>
    </row>
    <row r="119" spans="30:260" ht="15.95" customHeight="1">
      <c r="AD119" s="131">
        <v>118</v>
      </c>
      <c r="AE119" s="350">
        <v>2</v>
      </c>
      <c r="AF119" s="350">
        <v>1</v>
      </c>
      <c r="AG119" s="350">
        <v>2</v>
      </c>
      <c r="AH119" s="351" t="s">
        <v>1641</v>
      </c>
      <c r="AI119" s="360">
        <v>20</v>
      </c>
      <c r="AJ119" s="353">
        <v>17</v>
      </c>
      <c r="AK119" s="361">
        <v>5</v>
      </c>
      <c r="AL119" s="359">
        <v>16</v>
      </c>
      <c r="AM119" s="353">
        <v>38.07</v>
      </c>
      <c r="AN119" s="361">
        <v>110</v>
      </c>
      <c r="AO119" s="349">
        <v>18.649999999999999</v>
      </c>
      <c r="AP119" s="370">
        <f t="shared" si="33"/>
        <v>118</v>
      </c>
      <c r="AQ119" s="16" t="b">
        <f t="shared" si="34"/>
        <v>0</v>
      </c>
      <c r="AR119" s="16" t="b">
        <f t="shared" si="35"/>
        <v>0</v>
      </c>
      <c r="AS119" s="16">
        <f t="shared" si="36"/>
        <v>118</v>
      </c>
      <c r="AT119" s="16" t="b">
        <f t="shared" si="37"/>
        <v>0</v>
      </c>
      <c r="AU119" s="16" t="b">
        <f t="shared" si="38"/>
        <v>0</v>
      </c>
      <c r="IL119" s="24"/>
      <c r="IM119"/>
      <c r="IN119"/>
      <c r="IO119"/>
      <c r="IP119" s="102">
        <f>INT(IP118)</f>
        <v>0</v>
      </c>
      <c r="IQ119" s="104"/>
      <c r="IR119" s="102">
        <f>INT(IR118)</f>
        <v>3</v>
      </c>
      <c r="IS119"/>
      <c r="IT119"/>
      <c r="IU119"/>
      <c r="IV119"/>
      <c r="IW119"/>
      <c r="IX119" s="16"/>
      <c r="IY119" s="16"/>
      <c r="IZ119" s="16"/>
    </row>
    <row r="120" spans="30:260" ht="15.95" customHeight="1">
      <c r="AD120" s="131">
        <v>119</v>
      </c>
      <c r="AE120" s="350">
        <v>2</v>
      </c>
      <c r="AF120" s="350">
        <v>1</v>
      </c>
      <c r="AG120" s="350">
        <v>2</v>
      </c>
      <c r="AH120" s="351" t="s">
        <v>1642</v>
      </c>
      <c r="AI120" s="360">
        <v>18</v>
      </c>
      <c r="AJ120" s="353">
        <v>13.1</v>
      </c>
      <c r="AK120" s="361">
        <v>4</v>
      </c>
      <c r="AL120" s="359">
        <v>11</v>
      </c>
      <c r="AM120" s="353">
        <v>32.25</v>
      </c>
      <c r="AN120" s="361">
        <v>102</v>
      </c>
      <c r="AO120" s="349">
        <v>15.475</v>
      </c>
      <c r="AP120" s="370">
        <f t="shared" si="33"/>
        <v>119</v>
      </c>
      <c r="AQ120" s="16" t="b">
        <f t="shared" si="34"/>
        <v>0</v>
      </c>
      <c r="AR120" s="16" t="b">
        <f t="shared" si="35"/>
        <v>0</v>
      </c>
      <c r="AS120" s="16">
        <f t="shared" si="36"/>
        <v>119</v>
      </c>
      <c r="AT120" s="16" t="b">
        <f t="shared" si="37"/>
        <v>0</v>
      </c>
      <c r="AU120" s="16" t="b">
        <f t="shared" si="38"/>
        <v>0</v>
      </c>
      <c r="BV120" s="8">
        <v>40</v>
      </c>
      <c r="BW120" s="54">
        <f>LOOKUP(BT$54,BX$2:EM$2,BX120:EM120)</f>
        <v>0</v>
      </c>
      <c r="DD120" s="23" t="str">
        <f>$CF$48</f>
        <v>M30</v>
      </c>
      <c r="ED120" s="23" t="str">
        <f>$DF$48</f>
        <v>M30</v>
      </c>
      <c r="EF120" s="23" t="str">
        <f>$DF$42</f>
        <v>G00 G40 X0. Y3.375</v>
      </c>
      <c r="FY120" s="16"/>
      <c r="FZ120" s="16"/>
      <c r="IL120" s="26">
        <v>8</v>
      </c>
      <c r="IM120" s="14" t="s">
        <v>854</v>
      </c>
      <c r="IN120" s="14" t="s">
        <v>671</v>
      </c>
      <c r="IO120" s="14" t="s">
        <v>674</v>
      </c>
      <c r="IP120" s="14" t="str">
        <f>SUBSTITUTE(IP118,",",".")</f>
        <v>0</v>
      </c>
      <c r="IQ120" s="14" t="str">
        <f>IF(IP118=IP119,". Y"," Y")</f>
        <v>. Y</v>
      </c>
      <c r="IR120" s="14" t="str">
        <f>SUBSTITUTE(IR118,",",".")</f>
        <v>3.375</v>
      </c>
      <c r="IS120" s="14" t="str">
        <f>IF(IR118=IR119,".","")</f>
        <v/>
      </c>
      <c r="IT120" s="14"/>
      <c r="IU120" s="14"/>
      <c r="IV120" s="14"/>
      <c r="IW120" s="14"/>
      <c r="IX120" s="16"/>
      <c r="IY120" s="16"/>
      <c r="IZ120" s="16"/>
    </row>
    <row r="121" spans="30:260" ht="15.95" customHeight="1">
      <c r="AD121" s="131">
        <v>120</v>
      </c>
      <c r="AE121" s="350">
        <v>2</v>
      </c>
      <c r="AF121" s="350">
        <v>1</v>
      </c>
      <c r="AG121" s="350">
        <v>2</v>
      </c>
      <c r="AH121" s="351" t="s">
        <v>1643</v>
      </c>
      <c r="AI121" s="360">
        <v>16</v>
      </c>
      <c r="AJ121" s="353">
        <v>12.4</v>
      </c>
      <c r="AK121" s="361">
        <v>4</v>
      </c>
      <c r="AL121" s="359">
        <v>18</v>
      </c>
      <c r="AM121" s="353">
        <v>28.17</v>
      </c>
      <c r="AN121" s="361">
        <v>100</v>
      </c>
      <c r="AO121" s="349">
        <v>14.0875</v>
      </c>
      <c r="AP121" s="370">
        <f t="shared" si="33"/>
        <v>120</v>
      </c>
      <c r="AQ121" s="16" t="b">
        <f t="shared" si="34"/>
        <v>0</v>
      </c>
      <c r="AR121" s="16" t="b">
        <f t="shared" si="35"/>
        <v>0</v>
      </c>
      <c r="AS121" s="16">
        <f t="shared" si="36"/>
        <v>120</v>
      </c>
      <c r="AT121" s="16" t="b">
        <f t="shared" si="37"/>
        <v>0</v>
      </c>
      <c r="AU121" s="16" t="b">
        <f t="shared" si="38"/>
        <v>0</v>
      </c>
      <c r="EF121" s="375"/>
      <c r="FR121" s="26"/>
      <c r="FS121" s="201"/>
      <c r="FW121" s="26"/>
      <c r="FY121" s="53"/>
      <c r="FZ121" s="53"/>
      <c r="IL121" s="26"/>
      <c r="IM121" s="14"/>
      <c r="IN121" s="14"/>
      <c r="IO121" s="14"/>
      <c r="IP121" s="244">
        <f>$IP$51</f>
        <v>0.313</v>
      </c>
      <c r="IQ121" s="14"/>
      <c r="IR121" s="14"/>
      <c r="IS121" s="14"/>
      <c r="IT121" s="14"/>
      <c r="IU121" s="14"/>
      <c r="IV121" s="14"/>
      <c r="IW121" s="14"/>
      <c r="IX121" s="16"/>
      <c r="IY121" s="16"/>
      <c r="IZ121" s="16"/>
    </row>
    <row r="122" spans="30:260" ht="15.95" customHeight="1">
      <c r="AD122" s="131">
        <v>121</v>
      </c>
      <c r="AE122" s="350">
        <v>2</v>
      </c>
      <c r="AF122" s="350">
        <v>1</v>
      </c>
      <c r="AG122" s="350">
        <v>2</v>
      </c>
      <c r="AH122" s="351" t="s">
        <v>1644</v>
      </c>
      <c r="AI122" s="360">
        <v>18</v>
      </c>
      <c r="AJ122" s="353">
        <v>14</v>
      </c>
      <c r="AK122" s="361">
        <v>5</v>
      </c>
      <c r="AL122" s="359">
        <v>18</v>
      </c>
      <c r="AM122" s="353">
        <v>32.409999999999997</v>
      </c>
      <c r="AN122" s="361">
        <v>102</v>
      </c>
      <c r="AO122" s="349">
        <v>15.675000000000001</v>
      </c>
      <c r="AP122" s="370">
        <f t="shared" si="33"/>
        <v>121</v>
      </c>
      <c r="AQ122" s="16" t="b">
        <f t="shared" si="34"/>
        <v>0</v>
      </c>
      <c r="AR122" s="16" t="b">
        <f t="shared" si="35"/>
        <v>0</v>
      </c>
      <c r="AS122" s="16">
        <f t="shared" si="36"/>
        <v>121</v>
      </c>
      <c r="AT122" s="16" t="b">
        <f t="shared" si="37"/>
        <v>0</v>
      </c>
      <c r="AU122" s="16" t="b">
        <f t="shared" si="38"/>
        <v>0</v>
      </c>
      <c r="EF122" s="375"/>
      <c r="IL122" s="24"/>
      <c r="IM122" s="14"/>
      <c r="IN122" s="14"/>
      <c r="IO122" s="14"/>
      <c r="IP122" s="102">
        <f>INT(IP121)</f>
        <v>0</v>
      </c>
      <c r="IQ122" s="14"/>
      <c r="IR122"/>
      <c r="IS122"/>
      <c r="IT122"/>
      <c r="IU122"/>
      <c r="IV122"/>
      <c r="IW122"/>
      <c r="IX122" s="16"/>
      <c r="IY122" s="16"/>
      <c r="IZ122" s="16"/>
    </row>
    <row r="123" spans="30:260" ht="15.95" customHeight="1">
      <c r="AD123" s="131">
        <v>122</v>
      </c>
      <c r="AE123" s="350">
        <v>2</v>
      </c>
      <c r="AF123" s="350">
        <v>1</v>
      </c>
      <c r="AG123" s="350">
        <v>2</v>
      </c>
      <c r="AH123" s="351" t="s">
        <v>1645</v>
      </c>
      <c r="AI123" s="360">
        <v>16</v>
      </c>
      <c r="AJ123" s="353">
        <v>11.7</v>
      </c>
      <c r="AK123" s="361">
        <v>4</v>
      </c>
      <c r="AL123" s="359">
        <v>12</v>
      </c>
      <c r="AM123" s="353">
        <v>29.57</v>
      </c>
      <c r="AN123" s="361">
        <v>100</v>
      </c>
      <c r="AO123" s="349">
        <v>13.887499999999999</v>
      </c>
      <c r="AP123" s="370">
        <f t="shared" si="33"/>
        <v>122</v>
      </c>
      <c r="AQ123" s="16" t="b">
        <f t="shared" si="34"/>
        <v>0</v>
      </c>
      <c r="AR123" s="16" t="b">
        <f t="shared" si="35"/>
        <v>0</v>
      </c>
      <c r="AS123" s="16">
        <f t="shared" si="36"/>
        <v>122</v>
      </c>
      <c r="AT123" s="16" t="b">
        <f t="shared" si="37"/>
        <v>0</v>
      </c>
      <c r="AU123" s="16" t="b">
        <f t="shared" si="38"/>
        <v>0</v>
      </c>
      <c r="BV123" s="8">
        <v>41</v>
      </c>
      <c r="BW123" s="54">
        <f>LOOKUP(BT$54,BX$2:EM$2,BX123:EM123)</f>
        <v>0</v>
      </c>
      <c r="EF123" s="23" t="str">
        <f>$DF$45</f>
        <v>G90 G49 G00 Z200. M5</v>
      </c>
      <c r="IL123" s="26">
        <v>9</v>
      </c>
      <c r="IM123" s="14" t="s">
        <v>446</v>
      </c>
      <c r="IN123" s="14" t="s">
        <v>175</v>
      </c>
      <c r="IO123" s="14" t="s">
        <v>181</v>
      </c>
      <c r="IP123" s="14" t="str">
        <f>SUBSTITUTE(IP121,",",".")</f>
        <v>0.313</v>
      </c>
      <c r="IQ123" s="14" t="str">
        <f>IF(IP121=IP122,".","")</f>
        <v/>
      </c>
      <c r="IR123" s="14"/>
      <c r="IS123" s="14"/>
      <c r="IT123" s="14"/>
      <c r="IU123" s="14"/>
      <c r="IV123" s="14"/>
      <c r="IW123" s="14"/>
      <c r="IX123" s="16"/>
      <c r="IY123" s="16"/>
      <c r="IZ123" s="16"/>
    </row>
    <row r="124" spans="30:260" ht="15.95" customHeight="1">
      <c r="AD124" s="131">
        <v>123</v>
      </c>
      <c r="AE124" s="362">
        <v>2</v>
      </c>
      <c r="AF124" s="362">
        <v>1</v>
      </c>
      <c r="AG124" s="362">
        <v>2</v>
      </c>
      <c r="AH124" s="351" t="s">
        <v>1646</v>
      </c>
      <c r="AI124" s="360">
        <v>14</v>
      </c>
      <c r="AJ124" s="353">
        <v>11</v>
      </c>
      <c r="AK124" s="362">
        <v>4</v>
      </c>
      <c r="AL124" s="368">
        <v>20</v>
      </c>
      <c r="AM124" s="352">
        <v>25.37</v>
      </c>
      <c r="AN124" s="354">
        <v>90</v>
      </c>
      <c r="AO124" s="369">
        <v>12.5</v>
      </c>
      <c r="AP124" s="370">
        <f t="shared" si="33"/>
        <v>123</v>
      </c>
      <c r="AQ124" s="16" t="b">
        <f t="shared" si="34"/>
        <v>0</v>
      </c>
      <c r="AR124" s="16" t="b">
        <f t="shared" si="35"/>
        <v>0</v>
      </c>
      <c r="AS124" s="16">
        <f t="shared" si="36"/>
        <v>123</v>
      </c>
      <c r="AT124" s="16" t="b">
        <f t="shared" si="37"/>
        <v>0</v>
      </c>
      <c r="AU124" s="16" t="b">
        <f t="shared" si="38"/>
        <v>0</v>
      </c>
      <c r="FR124" s="26"/>
    </row>
    <row r="125" spans="30:260" ht="15.95" customHeight="1">
      <c r="AD125" s="131">
        <v>124</v>
      </c>
      <c r="AE125" s="362">
        <v>2</v>
      </c>
      <c r="AF125" s="362">
        <v>1</v>
      </c>
      <c r="AG125" s="362">
        <v>2</v>
      </c>
      <c r="AH125" s="351" t="s">
        <v>1647</v>
      </c>
      <c r="AI125" s="360">
        <v>14</v>
      </c>
      <c r="AJ125" s="353">
        <v>10.3</v>
      </c>
      <c r="AK125" s="362">
        <v>4</v>
      </c>
      <c r="AL125" s="368">
        <v>13</v>
      </c>
      <c r="AM125" s="352">
        <v>25.34</v>
      </c>
      <c r="AN125" s="354">
        <v>90</v>
      </c>
      <c r="AO125" s="369">
        <v>12.3</v>
      </c>
      <c r="AP125" s="370">
        <f t="shared" si="33"/>
        <v>124</v>
      </c>
      <c r="AQ125" s="16" t="b">
        <f t="shared" si="34"/>
        <v>0</v>
      </c>
      <c r="AR125" s="16" t="b">
        <f t="shared" si="35"/>
        <v>0</v>
      </c>
      <c r="AS125" s="16">
        <f t="shared" si="36"/>
        <v>124</v>
      </c>
      <c r="AT125" s="16" t="b">
        <f t="shared" si="37"/>
        <v>0</v>
      </c>
      <c r="AU125" s="16" t="b">
        <f t="shared" si="38"/>
        <v>0</v>
      </c>
    </row>
    <row r="126" spans="30:260" ht="15.95" customHeight="1">
      <c r="AD126" s="131">
        <v>125</v>
      </c>
      <c r="AE126" s="362">
        <v>2</v>
      </c>
      <c r="AF126" s="362">
        <v>1</v>
      </c>
      <c r="AG126" s="362">
        <v>2</v>
      </c>
      <c r="AH126" s="351" t="s">
        <v>1648</v>
      </c>
      <c r="AI126" s="360">
        <v>12</v>
      </c>
      <c r="AJ126" s="353">
        <v>8.9</v>
      </c>
      <c r="AK126" s="362">
        <v>4</v>
      </c>
      <c r="AL126" s="368">
        <v>14</v>
      </c>
      <c r="AM126" s="352">
        <v>21.71</v>
      </c>
      <c r="AN126" s="354">
        <v>80</v>
      </c>
      <c r="AO126" s="369">
        <v>10.7125</v>
      </c>
      <c r="AP126" s="370">
        <f t="shared" si="33"/>
        <v>125</v>
      </c>
      <c r="AQ126" s="16" t="b">
        <f t="shared" si="34"/>
        <v>0</v>
      </c>
      <c r="AR126" s="16" t="b">
        <f t="shared" si="35"/>
        <v>0</v>
      </c>
      <c r="AS126" s="16">
        <f t="shared" si="36"/>
        <v>125</v>
      </c>
      <c r="AT126" s="16" t="b">
        <f t="shared" si="37"/>
        <v>0</v>
      </c>
      <c r="AU126" s="16" t="b">
        <f t="shared" si="38"/>
        <v>0</v>
      </c>
      <c r="BV126" s="8">
        <v>42</v>
      </c>
      <c r="BW126" s="54">
        <f>LOOKUP(BT$54,BX$2:EM$2,BX126:EM126)</f>
        <v>0</v>
      </c>
      <c r="EF126" s="23" t="str">
        <f>$DF$48</f>
        <v>M30</v>
      </c>
    </row>
    <row r="127" spans="30:260" ht="15.95" customHeight="1">
      <c r="AD127" s="131">
        <v>126</v>
      </c>
      <c r="AE127" s="362">
        <v>2</v>
      </c>
      <c r="AF127" s="362">
        <v>1</v>
      </c>
      <c r="AG127" s="362">
        <v>2</v>
      </c>
      <c r="AH127" s="351" t="s">
        <v>1649</v>
      </c>
      <c r="AI127" s="360">
        <v>12</v>
      </c>
      <c r="AJ127" s="353">
        <v>8.1</v>
      </c>
      <c r="AK127" s="362">
        <v>4</v>
      </c>
      <c r="AL127" s="368">
        <v>24</v>
      </c>
      <c r="AM127" s="352">
        <v>19.010000000000002</v>
      </c>
      <c r="AN127" s="354">
        <v>80</v>
      </c>
      <c r="AO127" s="369">
        <v>9.3249999999999993</v>
      </c>
      <c r="AP127" s="370">
        <f t="shared" si="33"/>
        <v>126</v>
      </c>
      <c r="AQ127" s="16" t="b">
        <f t="shared" si="34"/>
        <v>0</v>
      </c>
      <c r="AR127" s="16" t="b">
        <f t="shared" si="35"/>
        <v>0</v>
      </c>
      <c r="AS127" s="16">
        <f t="shared" si="36"/>
        <v>126</v>
      </c>
      <c r="AT127" s="16" t="b">
        <f t="shared" si="37"/>
        <v>0</v>
      </c>
      <c r="AU127" s="16" t="b">
        <f t="shared" si="38"/>
        <v>0</v>
      </c>
    </row>
    <row r="128" spans="30:260" ht="15.95" customHeight="1">
      <c r="AD128" s="131">
        <v>127</v>
      </c>
      <c r="AE128" s="362">
        <v>2</v>
      </c>
      <c r="AF128" s="362">
        <v>1</v>
      </c>
      <c r="AG128" s="362">
        <v>2</v>
      </c>
      <c r="AH128" s="351" t="s">
        <v>1650</v>
      </c>
      <c r="AI128" s="360">
        <v>12</v>
      </c>
      <c r="AJ128" s="353">
        <v>9.4</v>
      </c>
      <c r="AK128" s="362">
        <v>4</v>
      </c>
      <c r="AL128" s="368">
        <v>20</v>
      </c>
      <c r="AM128" s="352">
        <v>21.56</v>
      </c>
      <c r="AN128" s="354">
        <v>80</v>
      </c>
      <c r="AO128" s="369">
        <v>10.9125</v>
      </c>
      <c r="AP128" s="370">
        <f t="shared" si="33"/>
        <v>127</v>
      </c>
      <c r="AQ128" s="16" t="b">
        <f t="shared" si="34"/>
        <v>0</v>
      </c>
      <c r="AR128" s="16" t="b">
        <f t="shared" si="35"/>
        <v>0</v>
      </c>
      <c r="AS128" s="16">
        <f t="shared" si="36"/>
        <v>127</v>
      </c>
      <c r="AT128" s="16" t="b">
        <f t="shared" si="37"/>
        <v>0</v>
      </c>
      <c r="AU128" s="16" t="b">
        <f t="shared" si="38"/>
        <v>0</v>
      </c>
    </row>
    <row r="129" spans="30:261" ht="15.95" customHeight="1">
      <c r="AD129" s="131">
        <v>128</v>
      </c>
      <c r="AE129" s="362">
        <v>2</v>
      </c>
      <c r="AF129" s="362">
        <v>1</v>
      </c>
      <c r="AG129" s="362">
        <v>2</v>
      </c>
      <c r="AH129" s="363" t="s">
        <v>1651</v>
      </c>
      <c r="AI129" s="363">
        <v>12</v>
      </c>
      <c r="AJ129" s="363">
        <v>7.6</v>
      </c>
      <c r="AK129" s="363">
        <v>4</v>
      </c>
      <c r="AL129" s="364">
        <v>16</v>
      </c>
      <c r="AM129" s="363">
        <v>19.010000000000002</v>
      </c>
      <c r="AN129" s="363">
        <v>80</v>
      </c>
      <c r="AO129" s="363">
        <v>9.125</v>
      </c>
      <c r="AP129" s="370">
        <f t="shared" si="33"/>
        <v>128</v>
      </c>
      <c r="AQ129" s="16" t="b">
        <f t="shared" si="34"/>
        <v>0</v>
      </c>
      <c r="AR129" s="16" t="b">
        <f t="shared" si="35"/>
        <v>0</v>
      </c>
      <c r="AS129" s="16">
        <f t="shared" si="36"/>
        <v>128</v>
      </c>
      <c r="AT129" s="16" t="b">
        <f t="shared" si="37"/>
        <v>0</v>
      </c>
      <c r="AU129" s="16" t="b">
        <f t="shared" si="38"/>
        <v>0</v>
      </c>
      <c r="BV129" s="8">
        <v>43</v>
      </c>
      <c r="BW129" s="54">
        <f>LOOKUP(BT$54,BX$2:EM$2,BX129:EM129)</f>
        <v>0</v>
      </c>
    </row>
    <row r="130" spans="30:261" ht="15.95" customHeight="1">
      <c r="AD130" s="131">
        <v>129</v>
      </c>
      <c r="AE130" s="362">
        <v>2</v>
      </c>
      <c r="AF130" s="362">
        <v>1</v>
      </c>
      <c r="AG130" s="362">
        <v>2</v>
      </c>
      <c r="AH130" s="363" t="s">
        <v>1652</v>
      </c>
      <c r="AI130" s="363">
        <v>10</v>
      </c>
      <c r="AJ130" s="363">
        <v>6.5</v>
      </c>
      <c r="AK130" s="363">
        <v>3</v>
      </c>
      <c r="AL130" s="364">
        <v>24</v>
      </c>
      <c r="AM130" s="363">
        <v>15.84</v>
      </c>
      <c r="AN130" s="363">
        <v>74</v>
      </c>
      <c r="AO130" s="363">
        <v>7.7374999999999998</v>
      </c>
      <c r="AP130" s="370">
        <f t="shared" ref="AP130:AP193" si="48">IF(BP$37&lt;=AE130,AD130)</f>
        <v>129</v>
      </c>
      <c r="AQ130" s="16">
        <f t="shared" ref="AQ130:AQ193" si="49">IF(C$9&gt;=AO130,AD130)</f>
        <v>129</v>
      </c>
      <c r="AR130" s="16" t="b">
        <f t="shared" ref="AR130:AR193" si="50">IF(C$10=AL130,AD130)</f>
        <v>0</v>
      </c>
      <c r="AS130" s="16" t="b">
        <f t="shared" ref="AS130:AS193" si="51">IF(C$11&lt;=AM130,AD130)</f>
        <v>0</v>
      </c>
      <c r="AT130" s="16" t="b">
        <f t="shared" ref="AT130:AT193" si="52">IF(AG130=BL$10,AD130)</f>
        <v>0</v>
      </c>
      <c r="AU130" s="16" t="b">
        <f t="shared" ref="AU130:AU193" si="53">IF(AP130=FALSE,FALSE,IF(AQ130=FALSE,FALSE,IF(AR130=FALSE,FALSE,IF(AS130=FALSE,FALSE,IF(AT130=FALSE,FALSE,AD130)))))</f>
        <v>0</v>
      </c>
    </row>
    <row r="131" spans="30:261" ht="15.95" customHeight="1">
      <c r="AD131" s="131">
        <v>130</v>
      </c>
      <c r="AE131" s="362">
        <v>2</v>
      </c>
      <c r="AF131" s="362">
        <v>1</v>
      </c>
      <c r="AG131" s="362">
        <v>2</v>
      </c>
      <c r="AH131" s="363" t="s">
        <v>1653</v>
      </c>
      <c r="AI131" s="363">
        <v>10</v>
      </c>
      <c r="AJ131" s="363">
        <v>6.2</v>
      </c>
      <c r="AK131" s="363">
        <v>3</v>
      </c>
      <c r="AL131" s="364">
        <v>18</v>
      </c>
      <c r="AM131" s="363">
        <v>15.47</v>
      </c>
      <c r="AN131" s="363">
        <v>74</v>
      </c>
      <c r="AO131" s="363">
        <v>7.7374999999999998</v>
      </c>
      <c r="AP131" s="370">
        <f t="shared" si="48"/>
        <v>130</v>
      </c>
      <c r="AQ131" s="16">
        <f t="shared" si="49"/>
        <v>130</v>
      </c>
      <c r="AR131" s="16" t="b">
        <f t="shared" si="50"/>
        <v>0</v>
      </c>
      <c r="AS131" s="16" t="b">
        <f t="shared" si="51"/>
        <v>0</v>
      </c>
      <c r="AT131" s="16" t="b">
        <f t="shared" si="52"/>
        <v>0</v>
      </c>
      <c r="AU131" s="16" t="b">
        <f t="shared" si="53"/>
        <v>0</v>
      </c>
    </row>
    <row r="132" spans="30:261" ht="15.95" customHeight="1">
      <c r="AD132" s="131">
        <v>131</v>
      </c>
      <c r="AE132" s="362">
        <v>2</v>
      </c>
      <c r="AF132" s="362">
        <v>1</v>
      </c>
      <c r="AG132" s="362">
        <v>2</v>
      </c>
      <c r="AH132" s="363" t="s">
        <v>1654</v>
      </c>
      <c r="AI132" s="363">
        <v>8</v>
      </c>
      <c r="AJ132" s="363">
        <v>5.0999999999999996</v>
      </c>
      <c r="AK132" s="363">
        <v>3</v>
      </c>
      <c r="AL132" s="364">
        <v>28</v>
      </c>
      <c r="AM132" s="363">
        <v>12.76</v>
      </c>
      <c r="AN132" s="363">
        <v>62</v>
      </c>
      <c r="AO132" s="363">
        <v>6.15</v>
      </c>
      <c r="AP132" s="370">
        <f t="shared" si="48"/>
        <v>131</v>
      </c>
      <c r="AQ132" s="16">
        <f t="shared" si="49"/>
        <v>131</v>
      </c>
      <c r="AR132" s="16" t="b">
        <f t="shared" si="50"/>
        <v>0</v>
      </c>
      <c r="AS132" s="16" t="b">
        <f t="shared" si="51"/>
        <v>0</v>
      </c>
      <c r="AT132" s="16" t="b">
        <f t="shared" si="52"/>
        <v>0</v>
      </c>
      <c r="AU132" s="16" t="b">
        <f t="shared" si="53"/>
        <v>0</v>
      </c>
      <c r="BV132" s="8">
        <v>44</v>
      </c>
      <c r="BW132" s="54">
        <f>LOOKUP(BT$54,BX$2:EM$2,BX132:EM132)</f>
        <v>0</v>
      </c>
    </row>
    <row r="133" spans="30:261" ht="15.95" customHeight="1">
      <c r="AD133" s="131">
        <v>132</v>
      </c>
      <c r="AE133" s="362">
        <v>2</v>
      </c>
      <c r="AF133" s="362">
        <v>1</v>
      </c>
      <c r="AG133" s="362">
        <v>2</v>
      </c>
      <c r="AH133" s="363" t="s">
        <v>1655</v>
      </c>
      <c r="AI133" s="363">
        <v>8</v>
      </c>
      <c r="AJ133" s="363">
        <v>4.8</v>
      </c>
      <c r="AK133" s="363">
        <v>3</v>
      </c>
      <c r="AL133" s="364">
        <v>20</v>
      </c>
      <c r="AM133" s="363">
        <v>12.67</v>
      </c>
      <c r="AN133" s="363">
        <v>62</v>
      </c>
      <c r="AO133" s="363">
        <v>6.15</v>
      </c>
      <c r="AP133" s="370">
        <f t="shared" si="48"/>
        <v>132</v>
      </c>
      <c r="AQ133" s="16">
        <f t="shared" si="49"/>
        <v>132</v>
      </c>
      <c r="AR133" s="16" t="b">
        <f t="shared" si="50"/>
        <v>0</v>
      </c>
      <c r="AS133" s="16" t="b">
        <f t="shared" si="51"/>
        <v>0</v>
      </c>
      <c r="AT133" s="16" t="b">
        <f t="shared" si="52"/>
        <v>0</v>
      </c>
      <c r="AU133" s="16" t="b">
        <f t="shared" si="53"/>
        <v>0</v>
      </c>
    </row>
    <row r="134" spans="30:261" ht="15.95" customHeight="1">
      <c r="AD134" s="131">
        <v>133</v>
      </c>
      <c r="AE134" s="362">
        <v>1</v>
      </c>
      <c r="AF134" s="362">
        <v>1</v>
      </c>
      <c r="AG134" s="362">
        <v>2</v>
      </c>
      <c r="AH134" s="363" t="s">
        <v>1656</v>
      </c>
      <c r="AI134" s="363">
        <v>14</v>
      </c>
      <c r="AJ134" s="363">
        <v>14</v>
      </c>
      <c r="AK134" s="363">
        <v>5</v>
      </c>
      <c r="AL134" s="364">
        <v>10</v>
      </c>
      <c r="AM134" s="363">
        <v>40.6</v>
      </c>
      <c r="AN134" s="363">
        <v>104</v>
      </c>
      <c r="AO134" s="363">
        <v>18.649999999999999</v>
      </c>
      <c r="AP134" s="370">
        <f t="shared" si="48"/>
        <v>133</v>
      </c>
      <c r="AQ134" s="16" t="b">
        <f t="shared" si="49"/>
        <v>0</v>
      </c>
      <c r="AR134" s="16" t="b">
        <f t="shared" si="50"/>
        <v>0</v>
      </c>
      <c r="AS134" s="16">
        <f t="shared" si="51"/>
        <v>133</v>
      </c>
      <c r="AT134" s="16" t="b">
        <f t="shared" si="52"/>
        <v>0</v>
      </c>
      <c r="AU134" s="16" t="b">
        <f t="shared" si="53"/>
        <v>0</v>
      </c>
    </row>
    <row r="135" spans="30:261" ht="15.95" customHeight="1">
      <c r="AD135" s="131">
        <v>134</v>
      </c>
      <c r="AE135" s="362">
        <v>1</v>
      </c>
      <c r="AF135" s="362">
        <v>1</v>
      </c>
      <c r="AG135" s="362">
        <v>2</v>
      </c>
      <c r="AH135" s="363" t="s">
        <v>1657</v>
      </c>
      <c r="AI135" s="363">
        <v>14</v>
      </c>
      <c r="AJ135" s="363">
        <v>14</v>
      </c>
      <c r="AK135" s="363">
        <v>5</v>
      </c>
      <c r="AL135" s="364">
        <v>16</v>
      </c>
      <c r="AM135" s="363">
        <v>39.700000000000003</v>
      </c>
      <c r="AN135" s="363">
        <v>104</v>
      </c>
      <c r="AO135" s="363">
        <v>18.649999999999999</v>
      </c>
      <c r="AP135" s="370">
        <f t="shared" si="48"/>
        <v>134</v>
      </c>
      <c r="AQ135" s="16" t="b">
        <f t="shared" si="49"/>
        <v>0</v>
      </c>
      <c r="AR135" s="16" t="b">
        <f t="shared" si="50"/>
        <v>0</v>
      </c>
      <c r="AS135" s="16">
        <f t="shared" si="51"/>
        <v>134</v>
      </c>
      <c r="AT135" s="16" t="b">
        <f t="shared" si="52"/>
        <v>0</v>
      </c>
      <c r="AU135" s="16" t="b">
        <f t="shared" si="53"/>
        <v>0</v>
      </c>
      <c r="BV135" s="8">
        <v>45</v>
      </c>
      <c r="BW135" s="54">
        <f>LOOKUP(BT$54,BX$2:EM$2,BX135:EM135)</f>
        <v>0</v>
      </c>
    </row>
    <row r="136" spans="30:261" ht="15.95" customHeight="1">
      <c r="AD136" s="131">
        <v>135</v>
      </c>
      <c r="AE136" s="362">
        <v>1</v>
      </c>
      <c r="AF136" s="362">
        <v>1</v>
      </c>
      <c r="AG136" s="362">
        <v>2</v>
      </c>
      <c r="AH136" s="363" t="s">
        <v>1658</v>
      </c>
      <c r="AI136" s="363">
        <v>12</v>
      </c>
      <c r="AJ136" s="363">
        <v>12</v>
      </c>
      <c r="AK136" s="363">
        <v>4</v>
      </c>
      <c r="AL136" s="364">
        <v>11</v>
      </c>
      <c r="AM136" s="363">
        <v>34.6</v>
      </c>
      <c r="AN136" s="363">
        <v>92</v>
      </c>
      <c r="AO136" s="363">
        <v>15.475</v>
      </c>
      <c r="AP136" s="370">
        <f t="shared" si="48"/>
        <v>135</v>
      </c>
      <c r="AQ136" s="16" t="b">
        <f t="shared" si="49"/>
        <v>0</v>
      </c>
      <c r="AR136" s="16" t="b">
        <f t="shared" si="50"/>
        <v>0</v>
      </c>
      <c r="AS136" s="16">
        <f t="shared" si="51"/>
        <v>135</v>
      </c>
      <c r="AT136" s="16" t="b">
        <f t="shared" si="52"/>
        <v>0</v>
      </c>
      <c r="AU136" s="16" t="b">
        <f t="shared" si="53"/>
        <v>0</v>
      </c>
      <c r="GB136" s="26"/>
      <c r="GC136" s="53"/>
    </row>
    <row r="137" spans="30:261" ht="15.95" customHeight="1">
      <c r="AD137" s="131">
        <v>136</v>
      </c>
      <c r="AE137" s="362">
        <v>1</v>
      </c>
      <c r="AF137" s="362">
        <v>1</v>
      </c>
      <c r="AG137" s="362">
        <v>2</v>
      </c>
      <c r="AH137" s="363" t="s">
        <v>1659</v>
      </c>
      <c r="AI137" s="363">
        <v>12</v>
      </c>
      <c r="AJ137" s="363">
        <v>12</v>
      </c>
      <c r="AK137" s="363">
        <v>4</v>
      </c>
      <c r="AL137" s="364">
        <v>18</v>
      </c>
      <c r="AM137" s="363">
        <v>29.6</v>
      </c>
      <c r="AN137" s="363">
        <v>83</v>
      </c>
      <c r="AO137" s="363">
        <v>14.0875</v>
      </c>
      <c r="AP137" s="370">
        <f t="shared" si="48"/>
        <v>136</v>
      </c>
      <c r="AQ137" s="16" t="b">
        <f t="shared" si="49"/>
        <v>0</v>
      </c>
      <c r="AR137" s="16" t="b">
        <f t="shared" si="50"/>
        <v>0</v>
      </c>
      <c r="AS137" s="16">
        <f t="shared" si="51"/>
        <v>136</v>
      </c>
      <c r="AT137" s="16" t="b">
        <f t="shared" si="52"/>
        <v>0</v>
      </c>
      <c r="AU137" s="16" t="b">
        <f t="shared" si="53"/>
        <v>0</v>
      </c>
    </row>
    <row r="138" spans="30:261" ht="15.95" customHeight="1">
      <c r="AD138" s="131">
        <v>137</v>
      </c>
      <c r="AE138" s="362">
        <v>1</v>
      </c>
      <c r="AF138" s="362">
        <v>1</v>
      </c>
      <c r="AG138" s="362">
        <v>2</v>
      </c>
      <c r="AH138" s="363" t="s">
        <v>1660</v>
      </c>
      <c r="AI138" s="363">
        <v>12</v>
      </c>
      <c r="AJ138" s="363">
        <v>12</v>
      </c>
      <c r="AK138" s="363">
        <v>4</v>
      </c>
      <c r="AL138" s="364">
        <v>18</v>
      </c>
      <c r="AM138" s="363">
        <v>33.9</v>
      </c>
      <c r="AN138" s="363">
        <v>92</v>
      </c>
      <c r="AO138" s="363">
        <v>15.475</v>
      </c>
      <c r="AP138" s="370">
        <f t="shared" si="48"/>
        <v>137</v>
      </c>
      <c r="AQ138" s="16" t="b">
        <f t="shared" si="49"/>
        <v>0</v>
      </c>
      <c r="AR138" s="16" t="b">
        <f t="shared" si="50"/>
        <v>0</v>
      </c>
      <c r="AS138" s="16">
        <f t="shared" si="51"/>
        <v>137</v>
      </c>
      <c r="AT138" s="16" t="b">
        <f t="shared" si="52"/>
        <v>0</v>
      </c>
      <c r="AU138" s="16" t="b">
        <f t="shared" si="53"/>
        <v>0</v>
      </c>
      <c r="BV138" s="8">
        <v>46</v>
      </c>
      <c r="BW138" s="54">
        <f>LOOKUP(BT$54,BX$2:EM$2,BX138:EM138)</f>
        <v>0</v>
      </c>
    </row>
    <row r="139" spans="30:261" ht="15.95" customHeight="1">
      <c r="AD139" s="131">
        <v>138</v>
      </c>
      <c r="AE139" s="362">
        <v>1</v>
      </c>
      <c r="AF139" s="362">
        <v>1</v>
      </c>
      <c r="AG139" s="362">
        <v>2</v>
      </c>
      <c r="AH139" s="363" t="s">
        <v>1661</v>
      </c>
      <c r="AI139" s="363">
        <v>10</v>
      </c>
      <c r="AJ139" s="363">
        <v>10</v>
      </c>
      <c r="AK139" s="363">
        <v>4</v>
      </c>
      <c r="AL139" s="364">
        <v>12</v>
      </c>
      <c r="AM139" s="363">
        <v>31.8</v>
      </c>
      <c r="AN139" s="363">
        <v>83</v>
      </c>
      <c r="AO139" s="363">
        <v>13.887499999999999</v>
      </c>
      <c r="AP139" s="370">
        <f t="shared" si="48"/>
        <v>138</v>
      </c>
      <c r="AQ139" s="16" t="b">
        <f t="shared" si="49"/>
        <v>0</v>
      </c>
      <c r="AR139" s="16" t="b">
        <f t="shared" si="50"/>
        <v>0</v>
      </c>
      <c r="AS139" s="16">
        <f t="shared" si="51"/>
        <v>138</v>
      </c>
      <c r="AT139" s="16" t="b">
        <f t="shared" si="52"/>
        <v>0</v>
      </c>
      <c r="AU139" s="16" t="b">
        <f t="shared" si="53"/>
        <v>0</v>
      </c>
    </row>
    <row r="140" spans="30:261" ht="15.95" customHeight="1">
      <c r="AD140" s="131">
        <v>139</v>
      </c>
      <c r="AE140" s="362">
        <v>1</v>
      </c>
      <c r="AF140" s="362">
        <v>1</v>
      </c>
      <c r="AG140" s="362">
        <v>2</v>
      </c>
      <c r="AH140" s="363" t="s">
        <v>1662</v>
      </c>
      <c r="AI140" s="363">
        <v>10</v>
      </c>
      <c r="AJ140" s="363">
        <v>10</v>
      </c>
      <c r="AK140" s="363">
        <v>4</v>
      </c>
      <c r="AL140" s="364">
        <v>20</v>
      </c>
      <c r="AM140" s="363">
        <v>26.7</v>
      </c>
      <c r="AN140" s="363">
        <v>80</v>
      </c>
      <c r="AO140" s="363">
        <v>12.5</v>
      </c>
      <c r="AP140" s="370">
        <f t="shared" si="48"/>
        <v>139</v>
      </c>
      <c r="AQ140" s="16" t="b">
        <f t="shared" si="49"/>
        <v>0</v>
      </c>
      <c r="AR140" s="16" t="b">
        <f t="shared" si="50"/>
        <v>0</v>
      </c>
      <c r="AS140" s="16">
        <f t="shared" si="51"/>
        <v>139</v>
      </c>
      <c r="AT140" s="16" t="b">
        <f t="shared" si="52"/>
        <v>0</v>
      </c>
      <c r="AU140" s="16" t="b">
        <f t="shared" si="53"/>
        <v>0</v>
      </c>
      <c r="EN140" s="419"/>
      <c r="EO140" s="419"/>
      <c r="EP140" s="419"/>
      <c r="EQ140" s="419"/>
      <c r="ER140" s="419"/>
      <c r="ES140" s="419"/>
      <c r="ET140" s="419"/>
      <c r="EU140" s="419"/>
      <c r="EV140" s="419"/>
      <c r="EW140" s="419"/>
      <c r="EX140" s="419"/>
      <c r="EY140" s="419"/>
      <c r="EZ140" s="420"/>
      <c r="FA140" s="420"/>
      <c r="FB140" s="420"/>
      <c r="FC140" s="420"/>
      <c r="FD140" s="420"/>
      <c r="FE140" s="420"/>
      <c r="FF140" s="420"/>
      <c r="FG140" s="420"/>
      <c r="FH140" s="420"/>
      <c r="FI140" s="420"/>
      <c r="FJ140" s="420"/>
      <c r="FK140" s="420"/>
      <c r="FL140" s="420"/>
      <c r="FM140" s="420"/>
      <c r="FN140" s="420"/>
      <c r="FO140" s="419"/>
      <c r="FP140" s="419"/>
      <c r="FQ140" s="419"/>
      <c r="FR140" s="419"/>
      <c r="FS140" s="421"/>
      <c r="FT140" s="421"/>
      <c r="FU140" s="421"/>
      <c r="FV140" s="421"/>
      <c r="FW140" s="419"/>
      <c r="FX140" s="419"/>
      <c r="FY140" s="419"/>
      <c r="FZ140" s="419"/>
      <c r="GA140" s="419"/>
      <c r="GB140" s="422"/>
      <c r="GC140" s="422"/>
      <c r="GD140" s="422"/>
      <c r="GE140" s="422"/>
      <c r="GF140" s="422"/>
      <c r="GG140" s="422"/>
      <c r="GH140" s="422"/>
      <c r="GI140" s="422"/>
      <c r="GJ140" s="422"/>
      <c r="GK140" s="422"/>
      <c r="GL140" s="422"/>
      <c r="GM140" s="422"/>
      <c r="GN140" s="422"/>
      <c r="GO140" s="422"/>
      <c r="GP140" s="422"/>
      <c r="GQ140" s="422"/>
      <c r="GR140" s="422"/>
      <c r="GS140" s="422"/>
      <c r="GT140" s="422"/>
      <c r="GU140" s="422"/>
      <c r="GV140" s="422"/>
      <c r="GW140" s="422"/>
      <c r="GX140" s="422"/>
      <c r="GY140" s="422"/>
      <c r="GZ140" s="422"/>
      <c r="HA140" s="422"/>
      <c r="HB140" s="422"/>
      <c r="HC140" s="422"/>
      <c r="HD140" s="422"/>
      <c r="HE140" s="422"/>
      <c r="HF140" s="422"/>
      <c r="HG140" s="422"/>
      <c r="HH140" s="422"/>
      <c r="HI140" s="419"/>
      <c r="HJ140" s="419"/>
      <c r="HK140" s="419"/>
      <c r="HL140" s="419"/>
      <c r="HM140" s="419"/>
      <c r="HN140" s="419"/>
      <c r="HO140" s="419"/>
      <c r="HP140" s="419"/>
      <c r="HQ140" s="419"/>
      <c r="HR140" s="419"/>
      <c r="HS140" s="419"/>
      <c r="HT140" s="419"/>
      <c r="HU140" s="419"/>
      <c r="HV140" s="419"/>
      <c r="HW140" s="419"/>
      <c r="HX140" s="419"/>
      <c r="HY140" s="419"/>
      <c r="HZ140" s="419"/>
      <c r="IA140" s="420"/>
      <c r="IB140" s="422"/>
      <c r="IC140" s="422"/>
      <c r="ID140" s="422"/>
      <c r="IE140" s="422"/>
      <c r="IF140" s="422"/>
      <c r="IG140" s="420"/>
      <c r="IH140" s="420"/>
      <c r="II140" s="420"/>
      <c r="IJ140" s="420"/>
      <c r="IK140" s="420"/>
      <c r="IL140" s="420"/>
      <c r="IM140" s="420"/>
      <c r="IN140" s="420"/>
      <c r="IO140" s="420"/>
      <c r="IP140" s="420"/>
      <c r="IQ140" s="420"/>
      <c r="IR140" s="420"/>
      <c r="IS140" s="420"/>
      <c r="IT140" s="420"/>
      <c r="IU140" s="420"/>
      <c r="IV140" s="420"/>
      <c r="IW140" s="420"/>
      <c r="IX140" s="419"/>
      <c r="IY140" s="419"/>
      <c r="IZ140" s="419"/>
      <c r="JA140" s="422"/>
    </row>
    <row r="141" spans="30:261" ht="15.95" customHeight="1">
      <c r="AD141" s="131">
        <v>140</v>
      </c>
      <c r="AE141" s="362">
        <v>1</v>
      </c>
      <c r="AF141" s="362">
        <v>1</v>
      </c>
      <c r="AG141" s="362">
        <v>2</v>
      </c>
      <c r="AH141" s="363" t="s">
        <v>1663</v>
      </c>
      <c r="AI141" s="363">
        <v>10</v>
      </c>
      <c r="AJ141" s="363">
        <v>9.5</v>
      </c>
      <c r="AK141" s="363">
        <v>4</v>
      </c>
      <c r="AL141" s="364">
        <v>13</v>
      </c>
      <c r="AM141" s="363">
        <v>27.4</v>
      </c>
      <c r="AN141" s="363">
        <v>80</v>
      </c>
      <c r="AO141" s="363">
        <v>12.3</v>
      </c>
      <c r="AP141" s="370">
        <f t="shared" si="48"/>
        <v>140</v>
      </c>
      <c r="AQ141" s="16" t="b">
        <f t="shared" si="49"/>
        <v>0</v>
      </c>
      <c r="AR141" s="16" t="b">
        <f t="shared" si="50"/>
        <v>0</v>
      </c>
      <c r="AS141" s="16">
        <f t="shared" si="51"/>
        <v>140</v>
      </c>
      <c r="AT141" s="16" t="b">
        <f t="shared" si="52"/>
        <v>0</v>
      </c>
      <c r="AU141" s="16" t="b">
        <f t="shared" si="53"/>
        <v>0</v>
      </c>
      <c r="BV141" s="8">
        <v>47</v>
      </c>
      <c r="BW141" s="54">
        <f>LOOKUP(BT$54,BX$2:EM$2,BX141:EM141)</f>
        <v>0</v>
      </c>
      <c r="EO141" s="22" t="s">
        <v>1971</v>
      </c>
      <c r="FD141" s="22" t="s">
        <v>1974</v>
      </c>
      <c r="GH141" s="22" t="s">
        <v>1976</v>
      </c>
      <c r="GV141" s="22" t="s">
        <v>1977</v>
      </c>
      <c r="HJ141" s="22" t="s">
        <v>1981</v>
      </c>
      <c r="HS141" s="179" t="s">
        <v>1984</v>
      </c>
      <c r="IH141" s="22" t="s">
        <v>1989</v>
      </c>
      <c r="IM141" s="22" t="s">
        <v>1990</v>
      </c>
    </row>
    <row r="142" spans="30:261" ht="15.95" customHeight="1">
      <c r="AD142" s="131">
        <v>141</v>
      </c>
      <c r="AE142" s="362">
        <v>1</v>
      </c>
      <c r="AF142" s="362">
        <v>1</v>
      </c>
      <c r="AG142" s="362">
        <v>2</v>
      </c>
      <c r="AH142" s="363" t="s">
        <v>1664</v>
      </c>
      <c r="AI142" s="363">
        <v>8</v>
      </c>
      <c r="AJ142" s="363">
        <v>8</v>
      </c>
      <c r="AK142" s="363">
        <v>4</v>
      </c>
      <c r="AL142" s="364">
        <v>14</v>
      </c>
      <c r="AM142" s="363">
        <v>23.6</v>
      </c>
      <c r="AN142" s="363">
        <v>72</v>
      </c>
      <c r="AO142" s="363">
        <v>10.7125</v>
      </c>
      <c r="AP142" s="370">
        <f t="shared" si="48"/>
        <v>141</v>
      </c>
      <c r="AQ142" s="16" t="b">
        <f t="shared" si="49"/>
        <v>0</v>
      </c>
      <c r="AR142" s="16" t="b">
        <f t="shared" si="50"/>
        <v>0</v>
      </c>
      <c r="AS142" s="16">
        <f t="shared" si="51"/>
        <v>141</v>
      </c>
      <c r="AT142" s="16" t="b">
        <f t="shared" si="52"/>
        <v>0</v>
      </c>
      <c r="AU142" s="16" t="b">
        <f t="shared" si="53"/>
        <v>0</v>
      </c>
      <c r="HJ142" s="22" t="s">
        <v>1982</v>
      </c>
    </row>
    <row r="143" spans="30:261" ht="15.95" customHeight="1">
      <c r="AD143" s="131">
        <v>142</v>
      </c>
      <c r="AE143" s="362">
        <v>1</v>
      </c>
      <c r="AF143" s="362">
        <v>1</v>
      </c>
      <c r="AG143" s="362">
        <v>2</v>
      </c>
      <c r="AH143" s="363" t="s">
        <v>1665</v>
      </c>
      <c r="AI143" s="363">
        <v>8</v>
      </c>
      <c r="AJ143" s="363">
        <v>8</v>
      </c>
      <c r="AK143" s="363">
        <v>4</v>
      </c>
      <c r="AL143" s="364">
        <v>24</v>
      </c>
      <c r="AM143" s="363">
        <v>20.100000000000001</v>
      </c>
      <c r="AN143" s="363">
        <v>72</v>
      </c>
      <c r="AO143" s="363">
        <v>9.3249999999999993</v>
      </c>
      <c r="AP143" s="370">
        <f t="shared" si="48"/>
        <v>142</v>
      </c>
      <c r="AQ143" s="16" t="b">
        <f t="shared" si="49"/>
        <v>0</v>
      </c>
      <c r="AR143" s="16" t="b">
        <f t="shared" si="50"/>
        <v>0</v>
      </c>
      <c r="AS143" s="16">
        <f t="shared" si="51"/>
        <v>142</v>
      </c>
      <c r="AT143" s="16" t="b">
        <f t="shared" si="52"/>
        <v>0</v>
      </c>
      <c r="AU143" s="16" t="b">
        <f t="shared" si="53"/>
        <v>0</v>
      </c>
      <c r="EN143" s="26">
        <v>1</v>
      </c>
      <c r="EO143" s="14" t="s">
        <v>446</v>
      </c>
      <c r="EP143" s="14" t="s">
        <v>175</v>
      </c>
      <c r="EQ143" s="14" t="s">
        <v>176</v>
      </c>
      <c r="ER143" s="14" t="s">
        <v>1350</v>
      </c>
      <c r="ES143" s="14" t="s">
        <v>1351</v>
      </c>
      <c r="ET143" s="8"/>
      <c r="EU143" s="14"/>
      <c r="EV143" s="14"/>
      <c r="EW143" s="14"/>
      <c r="EX143" s="14"/>
      <c r="EY143" s="14"/>
      <c r="HR143" s="26">
        <v>1</v>
      </c>
      <c r="HS143" s="14" t="s">
        <v>446</v>
      </c>
      <c r="HT143" s="14" t="s">
        <v>175</v>
      </c>
      <c r="HU143" s="14" t="s">
        <v>176</v>
      </c>
      <c r="HV143" s="14" t="s">
        <v>1350</v>
      </c>
      <c r="HW143" s="14" t="s">
        <v>1985</v>
      </c>
      <c r="HX143" s="8"/>
      <c r="HY143" s="14"/>
      <c r="HZ143" s="14"/>
      <c r="IL143" s="26">
        <v>1</v>
      </c>
      <c r="IM143" s="14" t="s">
        <v>446</v>
      </c>
      <c r="IN143" s="14" t="s">
        <v>175</v>
      </c>
      <c r="IO143" s="14" t="s">
        <v>176</v>
      </c>
      <c r="IP143" s="14" t="s">
        <v>1350</v>
      </c>
      <c r="IQ143" s="14" t="s">
        <v>1351</v>
      </c>
    </row>
    <row r="144" spans="30:261" ht="15.95" customHeight="1">
      <c r="AD144" s="131">
        <v>143</v>
      </c>
      <c r="AE144" s="362">
        <v>1</v>
      </c>
      <c r="AF144" s="362">
        <v>1</v>
      </c>
      <c r="AG144" s="362">
        <v>2</v>
      </c>
      <c r="AH144" s="363" t="s">
        <v>1666</v>
      </c>
      <c r="AI144" s="363">
        <v>8</v>
      </c>
      <c r="AJ144" s="363">
        <v>8</v>
      </c>
      <c r="AK144" s="363">
        <v>4</v>
      </c>
      <c r="AL144" s="364">
        <v>20</v>
      </c>
      <c r="AM144" s="363">
        <v>24.1</v>
      </c>
      <c r="AN144" s="363">
        <v>72</v>
      </c>
      <c r="AO144" s="363">
        <v>10.9125</v>
      </c>
      <c r="AP144" s="370">
        <f t="shared" si="48"/>
        <v>143</v>
      </c>
      <c r="AQ144" s="16" t="b">
        <f t="shared" si="49"/>
        <v>0</v>
      </c>
      <c r="AR144" s="16" t="b">
        <f t="shared" si="50"/>
        <v>0</v>
      </c>
      <c r="AS144" s="16">
        <f t="shared" si="51"/>
        <v>143</v>
      </c>
      <c r="AT144" s="16" t="b">
        <f t="shared" si="52"/>
        <v>0</v>
      </c>
      <c r="AU144" s="16" t="b">
        <f t="shared" si="53"/>
        <v>0</v>
      </c>
      <c r="BV144" s="8">
        <v>48</v>
      </c>
      <c r="BW144" s="54">
        <f>LOOKUP(BT$54,BX$2:EM$2,BX144:EM144)</f>
        <v>0</v>
      </c>
      <c r="EN144" s="26"/>
      <c r="EO144" s="14"/>
      <c r="EP144" s="14"/>
      <c r="EQ144" s="14"/>
      <c r="ER144" s="14"/>
      <c r="ES144" s="14"/>
      <c r="ET144" s="8"/>
      <c r="EU144" s="14"/>
      <c r="EV144" s="14"/>
      <c r="EW144" s="14"/>
      <c r="EX144" s="14"/>
      <c r="EY144" s="14"/>
      <c r="HR144" s="26"/>
      <c r="HS144" s="14"/>
      <c r="HT144" s="14"/>
      <c r="HU144" s="237">
        <f>$HV$4</f>
        <v>3</v>
      </c>
      <c r="HV144" s="237"/>
      <c r="HW144" s="14"/>
      <c r="HX144" s="8"/>
      <c r="HY144" s="14"/>
      <c r="HZ144" s="14"/>
    </row>
    <row r="145" spans="30:260" ht="15.95" customHeight="1">
      <c r="AD145" s="131">
        <v>144</v>
      </c>
      <c r="AE145" s="362">
        <v>1</v>
      </c>
      <c r="AF145" s="362">
        <v>1</v>
      </c>
      <c r="AG145" s="362">
        <v>2</v>
      </c>
      <c r="AH145" s="363" t="s">
        <v>1667</v>
      </c>
      <c r="AI145" s="363">
        <v>8</v>
      </c>
      <c r="AJ145" s="363">
        <v>7</v>
      </c>
      <c r="AK145" s="363">
        <v>4</v>
      </c>
      <c r="AL145" s="364">
        <v>16</v>
      </c>
      <c r="AM145" s="363">
        <v>20.6</v>
      </c>
      <c r="AN145" s="363">
        <v>72</v>
      </c>
      <c r="AO145" s="363">
        <v>9.125</v>
      </c>
      <c r="AP145" s="370">
        <f t="shared" si="48"/>
        <v>144</v>
      </c>
      <c r="AQ145" s="16" t="b">
        <f t="shared" si="49"/>
        <v>0</v>
      </c>
      <c r="AR145" s="16" t="b">
        <f t="shared" si="50"/>
        <v>0</v>
      </c>
      <c r="AS145" s="16">
        <f t="shared" si="51"/>
        <v>144</v>
      </c>
      <c r="AT145" s="16" t="b">
        <f t="shared" si="52"/>
        <v>0</v>
      </c>
      <c r="AU145" s="16" t="b">
        <f t="shared" si="53"/>
        <v>0</v>
      </c>
      <c r="EN145" s="26"/>
      <c r="EO145" s="5"/>
      <c r="EP145" s="14"/>
      <c r="EQ145" s="114">
        <f>$C$12</f>
        <v>3</v>
      </c>
      <c r="ER145" s="103">
        <f>INT(EQ145)</f>
        <v>3</v>
      </c>
      <c r="ES145" s="103"/>
      <c r="ET145" s="8"/>
      <c r="EU145" s="14"/>
      <c r="EV145" s="14"/>
      <c r="EW145" s="14"/>
      <c r="EX145" s="14"/>
      <c r="EY145" s="14"/>
      <c r="HR145" s="26"/>
      <c r="HS145" s="5"/>
      <c r="HT145" s="14"/>
      <c r="HU145" s="102">
        <f>INT(HU144)</f>
        <v>3</v>
      </c>
      <c r="HV145" s="102"/>
      <c r="HW145" s="114"/>
      <c r="HX145" s="8"/>
      <c r="HY145" s="14"/>
      <c r="HZ145" s="14"/>
      <c r="IL145" s="26"/>
      <c r="IM145" s="22"/>
      <c r="IN145" s="8"/>
      <c r="IO145" s="8"/>
      <c r="IP145" s="183">
        <f>$IP$5</f>
        <v>3</v>
      </c>
      <c r="IQ145" s="103">
        <f>INT(IP145)</f>
        <v>3</v>
      </c>
      <c r="IR145" s="8"/>
      <c r="IS145" s="14"/>
      <c r="IT145" s="14"/>
      <c r="IU145" s="14"/>
      <c r="IV145" s="14"/>
      <c r="IW145" s="14"/>
      <c r="IX145" s="16"/>
      <c r="IY145" s="16"/>
      <c r="IZ145" s="16"/>
    </row>
    <row r="146" spans="30:260" ht="15.95" customHeight="1">
      <c r="AD146" s="131">
        <v>145</v>
      </c>
      <c r="AE146" s="362">
        <v>1</v>
      </c>
      <c r="AF146" s="362">
        <v>1</v>
      </c>
      <c r="AG146" s="362">
        <v>2</v>
      </c>
      <c r="AH146" s="363" t="s">
        <v>1668</v>
      </c>
      <c r="AI146" s="363">
        <v>6</v>
      </c>
      <c r="AJ146" s="363">
        <v>6</v>
      </c>
      <c r="AK146" s="363">
        <v>3</v>
      </c>
      <c r="AL146" s="364">
        <v>24</v>
      </c>
      <c r="AM146" s="363">
        <v>16.899999999999999</v>
      </c>
      <c r="AN146" s="363">
        <v>65</v>
      </c>
      <c r="AO146" s="363">
        <v>7.7374999999999998</v>
      </c>
      <c r="AP146" s="370">
        <f t="shared" si="48"/>
        <v>145</v>
      </c>
      <c r="AQ146" s="16">
        <f t="shared" si="49"/>
        <v>145</v>
      </c>
      <c r="AR146" s="16" t="b">
        <f t="shared" si="50"/>
        <v>0</v>
      </c>
      <c r="AS146" s="16" t="b">
        <f t="shared" si="51"/>
        <v>0</v>
      </c>
      <c r="AT146" s="16" t="b">
        <f t="shared" si="52"/>
        <v>0</v>
      </c>
      <c r="AU146" s="16" t="b">
        <f t="shared" si="53"/>
        <v>0</v>
      </c>
      <c r="EN146" s="26">
        <v>2</v>
      </c>
      <c r="EO146" s="418" t="s">
        <v>1967</v>
      </c>
      <c r="EP146" s="14" t="s">
        <v>1968</v>
      </c>
      <c r="EQ146" s="98" t="str">
        <f>SUBSTITUTE(EQ145,",",".")</f>
        <v>3</v>
      </c>
      <c r="ER146" s="14" t="str">
        <f>IF(EQ145=ER145,".","")</f>
        <v>.</v>
      </c>
      <c r="ES146" s="97" t="s">
        <v>1969</v>
      </c>
      <c r="ET146" s="14" t="s">
        <v>179</v>
      </c>
      <c r="EU146" s="97">
        <f>$C$28</f>
        <v>4244</v>
      </c>
      <c r="EV146" s="97"/>
      <c r="EW146" s="14"/>
      <c r="EX146" s="14"/>
      <c r="EY146" s="14"/>
      <c r="HR146" s="26">
        <v>2</v>
      </c>
      <c r="HS146" s="418" t="s">
        <v>1967</v>
      </c>
      <c r="HT146" s="14" t="s">
        <v>1968</v>
      </c>
      <c r="HU146" s="98" t="str">
        <f>SUBSTITUTE(HU144,",",".")</f>
        <v>3</v>
      </c>
      <c r="HV146" s="14" t="str">
        <f>IF(HU144=HU145,".","")</f>
        <v>.</v>
      </c>
      <c r="HW146" s="97" t="s">
        <v>161</v>
      </c>
      <c r="HX146" s="14" t="s">
        <v>179</v>
      </c>
      <c r="HY146" s="97">
        <f>$HZ$6</f>
        <v>4244</v>
      </c>
      <c r="HZ146" s="97"/>
      <c r="IA146" s="14"/>
      <c r="IL146" s="26">
        <v>2</v>
      </c>
      <c r="IM146" s="418" t="s">
        <v>1967</v>
      </c>
      <c r="IN146" s="6"/>
      <c r="IO146" s="14" t="s">
        <v>1968</v>
      </c>
      <c r="IP146" s="98" t="str">
        <f>SUBSTITUTE(IP145,",",".")</f>
        <v>3</v>
      </c>
      <c r="IQ146" s="14" t="str">
        <f>IF(IP145=IQ145,".","")</f>
        <v>.</v>
      </c>
      <c r="IR146" s="97" t="s">
        <v>1748</v>
      </c>
      <c r="IS146" s="14" t="s">
        <v>179</v>
      </c>
      <c r="IT146" s="97">
        <f>$IT$6</f>
        <v>4244</v>
      </c>
      <c r="IU146" s="14"/>
      <c r="IV146" s="14"/>
      <c r="IW146" s="14"/>
      <c r="IX146" s="14"/>
      <c r="IY146" s="14"/>
      <c r="IZ146" s="14"/>
    </row>
    <row r="147" spans="30:260" ht="15.95" customHeight="1">
      <c r="AD147" s="131">
        <v>146</v>
      </c>
      <c r="AE147" s="362">
        <v>1</v>
      </c>
      <c r="AF147" s="362">
        <v>1</v>
      </c>
      <c r="AG147" s="362">
        <v>2</v>
      </c>
      <c r="AH147" s="363" t="s">
        <v>1669</v>
      </c>
      <c r="AI147" s="363">
        <v>6</v>
      </c>
      <c r="AJ147" s="363">
        <v>5.8</v>
      </c>
      <c r="AK147" s="363">
        <v>3</v>
      </c>
      <c r="AL147" s="364">
        <v>18</v>
      </c>
      <c r="AM147" s="363">
        <v>16.899999999999999</v>
      </c>
      <c r="AN147" s="363">
        <v>65</v>
      </c>
      <c r="AO147" s="363">
        <v>7.7374999999999998</v>
      </c>
      <c r="AP147" s="370">
        <f t="shared" si="48"/>
        <v>146</v>
      </c>
      <c r="AQ147" s="16">
        <f t="shared" si="49"/>
        <v>146</v>
      </c>
      <c r="AR147" s="16" t="b">
        <f t="shared" si="50"/>
        <v>0</v>
      </c>
      <c r="AS147" s="16" t="b">
        <f t="shared" si="51"/>
        <v>0</v>
      </c>
      <c r="AT147" s="16" t="b">
        <f t="shared" si="52"/>
        <v>0</v>
      </c>
      <c r="AU147" s="16" t="b">
        <f t="shared" si="53"/>
        <v>0</v>
      </c>
      <c r="BV147" s="8">
        <v>49</v>
      </c>
      <c r="BW147" s="54">
        <f>LOOKUP(BT$54,BX$2:EM$2,BX147:EM147)</f>
        <v>0</v>
      </c>
      <c r="EN147" s="26"/>
      <c r="EO147" s="14"/>
      <c r="EP147" s="14"/>
      <c r="EQ147" s="103"/>
      <c r="ER147" s="175">
        <f>-$BP$56</f>
        <v>-20.812999999999999</v>
      </c>
      <c r="ES147" s="14"/>
      <c r="ET147" s="14"/>
      <c r="EU147" s="14"/>
      <c r="EV147" s="14"/>
      <c r="EW147" s="14"/>
      <c r="EX147" s="14"/>
      <c r="EY147" s="14"/>
      <c r="HI147" s="26"/>
      <c r="HJ147" s="14"/>
      <c r="HK147" s="14"/>
      <c r="HL147" s="103"/>
      <c r="HM147" s="103">
        <f>$HM$7</f>
        <v>-17.5</v>
      </c>
      <c r="HN147" s="14">
        <f>$HN$7</f>
        <v>17.5</v>
      </c>
      <c r="HO147" s="14"/>
      <c r="HP147" s="14"/>
      <c r="HQ147" s="14"/>
      <c r="HR147" s="26"/>
      <c r="HS147" s="14"/>
      <c r="HT147" s="14"/>
      <c r="HU147" s="103"/>
      <c r="HV147" s="175">
        <f>$HV$7</f>
        <v>-22.878</v>
      </c>
      <c r="HW147" s="14"/>
      <c r="HX147" s="14"/>
      <c r="HY147" s="14"/>
      <c r="HZ147" s="14"/>
      <c r="IL147" s="26"/>
      <c r="IM147" s="14"/>
      <c r="IN147" s="14"/>
      <c r="IO147" s="14"/>
      <c r="IP147" s="244">
        <f>$IP$7</f>
        <v>0.313</v>
      </c>
      <c r="IQ147" s="14"/>
      <c r="IR147" s="14"/>
      <c r="IS147" s="14"/>
      <c r="IT147" s="14"/>
      <c r="IU147" s="14"/>
      <c r="IV147" s="14"/>
      <c r="IW147" s="14"/>
      <c r="IX147" s="14"/>
      <c r="IY147" s="14"/>
      <c r="IZ147" s="14"/>
    </row>
    <row r="148" spans="30:260" ht="15.95" customHeight="1">
      <c r="AD148" s="131">
        <v>147</v>
      </c>
      <c r="AE148" s="362">
        <v>1</v>
      </c>
      <c r="AF148" s="362">
        <v>1</v>
      </c>
      <c r="AG148" s="362">
        <v>2</v>
      </c>
      <c r="AH148" s="363" t="s">
        <v>1670</v>
      </c>
      <c r="AI148" s="363">
        <v>6</v>
      </c>
      <c r="AJ148" s="363">
        <v>5</v>
      </c>
      <c r="AK148" s="363">
        <v>3</v>
      </c>
      <c r="AL148" s="364">
        <v>28</v>
      </c>
      <c r="AM148" s="363">
        <v>13.6</v>
      </c>
      <c r="AN148" s="363">
        <v>57</v>
      </c>
      <c r="AO148" s="363">
        <v>6.15</v>
      </c>
      <c r="AP148" s="370">
        <f t="shared" si="48"/>
        <v>147</v>
      </c>
      <c r="AQ148" s="16">
        <f t="shared" si="49"/>
        <v>147</v>
      </c>
      <c r="AR148" s="16" t="b">
        <f t="shared" si="50"/>
        <v>0</v>
      </c>
      <c r="AS148" s="16" t="b">
        <f t="shared" si="51"/>
        <v>0</v>
      </c>
      <c r="AT148" s="16" t="b">
        <f t="shared" si="52"/>
        <v>0</v>
      </c>
      <c r="AU148" s="16" t="b">
        <f t="shared" si="53"/>
        <v>0</v>
      </c>
      <c r="EQ148" s="104"/>
      <c r="ER148" s="102">
        <f>INT(ER147)</f>
        <v>-21</v>
      </c>
      <c r="GB148" s="26"/>
      <c r="GC148" s="201"/>
      <c r="HL148" s="104"/>
      <c r="HM148" s="102">
        <f>INT(HM147)</f>
        <v>-18</v>
      </c>
      <c r="HU148" s="104"/>
      <c r="HV148" s="102">
        <f>INT(HV147)</f>
        <v>-23</v>
      </c>
      <c r="IL148" s="26"/>
      <c r="IM148" s="14"/>
      <c r="IN148" s="14"/>
      <c r="IO148" s="14"/>
      <c r="IP148" s="102">
        <f>INT(IP147)</f>
        <v>0</v>
      </c>
      <c r="IQ148" s="14"/>
      <c r="IR148" s="14"/>
      <c r="IS148" s="14"/>
      <c r="IT148" s="14"/>
      <c r="IU148" s="14"/>
      <c r="IV148" s="14"/>
      <c r="IW148" s="14"/>
      <c r="IX148" s="14"/>
      <c r="IY148" s="14"/>
      <c r="IZ148" s="14"/>
    </row>
    <row r="149" spans="30:260" ht="15.95" customHeight="1">
      <c r="AD149" s="131">
        <v>148</v>
      </c>
      <c r="AE149" s="362">
        <v>1</v>
      </c>
      <c r="AF149" s="362">
        <v>1</v>
      </c>
      <c r="AG149" s="362">
        <v>2</v>
      </c>
      <c r="AH149" s="363" t="s">
        <v>1671</v>
      </c>
      <c r="AI149" s="363">
        <v>6</v>
      </c>
      <c r="AJ149" s="363">
        <v>4.5</v>
      </c>
      <c r="AK149" s="363">
        <v>3</v>
      </c>
      <c r="AL149" s="364">
        <v>20</v>
      </c>
      <c r="AM149" s="363">
        <v>14</v>
      </c>
      <c r="AN149" s="363">
        <v>57</v>
      </c>
      <c r="AO149" s="363">
        <v>6.15</v>
      </c>
      <c r="AP149" s="370">
        <f t="shared" si="48"/>
        <v>148</v>
      </c>
      <c r="AQ149" s="16">
        <f t="shared" si="49"/>
        <v>148</v>
      </c>
      <c r="AR149" s="16" t="b">
        <f t="shared" si="50"/>
        <v>0</v>
      </c>
      <c r="AS149" s="16" t="b">
        <f t="shared" si="51"/>
        <v>0</v>
      </c>
      <c r="AT149" s="16" t="b">
        <f t="shared" si="52"/>
        <v>0</v>
      </c>
      <c r="AU149" s="16" t="b">
        <f t="shared" si="53"/>
        <v>0</v>
      </c>
      <c r="EN149" s="26">
        <v>3</v>
      </c>
      <c r="EO149" s="14" t="s">
        <v>180</v>
      </c>
      <c r="EP149" s="14" t="s">
        <v>175</v>
      </c>
      <c r="EQ149" s="14" t="s">
        <v>181</v>
      </c>
      <c r="ER149" s="14" t="str">
        <f>SUBSTITUTE(ER147,",",".")</f>
        <v>-20.813</v>
      </c>
      <c r="ES149" s="14" t="str">
        <f>IF(ER147=ER148,".","")</f>
        <v/>
      </c>
      <c r="ET149" s="14"/>
      <c r="EU149" s="14"/>
      <c r="EV149" s="14"/>
      <c r="EW149" s="14"/>
      <c r="EX149" s="14"/>
      <c r="EY149" s="14"/>
      <c r="HI149" s="26">
        <v>3</v>
      </c>
      <c r="HJ149" s="186" t="s">
        <v>446</v>
      </c>
      <c r="HK149" s="14" t="s">
        <v>175</v>
      </c>
      <c r="HL149" s="14" t="s">
        <v>181</v>
      </c>
      <c r="HM149" s="14" t="str">
        <f>SUBSTITUTE(HM147,",",".")</f>
        <v>-17.5</v>
      </c>
      <c r="HN149" s="14" t="str">
        <f>IF(HM147=HM148,".","")</f>
        <v/>
      </c>
      <c r="HO149" s="14"/>
      <c r="HP149" s="14"/>
      <c r="HQ149" s="14"/>
      <c r="HR149" s="26">
        <v>3</v>
      </c>
      <c r="HS149" s="14" t="s">
        <v>180</v>
      </c>
      <c r="HT149" s="186" t="s">
        <v>445</v>
      </c>
      <c r="HU149" s="14" t="s">
        <v>181</v>
      </c>
      <c r="HV149" s="14" t="str">
        <f>SUBSTITUTE(HV147,",",".")</f>
        <v>-22.878</v>
      </c>
      <c r="HW149" s="10" t="s">
        <v>1986</v>
      </c>
      <c r="HX149" s="185">
        <f>$HX$9</f>
        <v>509</v>
      </c>
      <c r="HY149" s="14"/>
      <c r="HZ149" s="14"/>
      <c r="IL149" s="26">
        <v>3</v>
      </c>
      <c r="IM149" s="14" t="s">
        <v>1753</v>
      </c>
      <c r="IN149" s="14" t="s">
        <v>175</v>
      </c>
      <c r="IO149" s="14" t="s">
        <v>181</v>
      </c>
      <c r="IP149" s="14" t="str">
        <f>SUBSTITUTE(IP147,",",".")</f>
        <v>0.313</v>
      </c>
      <c r="IQ149" s="14" t="str">
        <f>IF(IP147=IP148,".","")</f>
        <v/>
      </c>
      <c r="IR149" s="14"/>
      <c r="IS149" s="14"/>
      <c r="IT149" s="14"/>
      <c r="IU149" s="14"/>
      <c r="IV149" s="14"/>
      <c r="IW149" s="14"/>
      <c r="IX149" s="14"/>
      <c r="IY149" s="14"/>
      <c r="IZ149" s="14"/>
    </row>
    <row r="150" spans="30:260" ht="15.95" customHeight="1">
      <c r="AD150" s="131">
        <v>149</v>
      </c>
      <c r="AE150" s="362">
        <v>2</v>
      </c>
      <c r="AF150" s="362">
        <v>2</v>
      </c>
      <c r="AG150" s="362">
        <v>3</v>
      </c>
      <c r="AH150" s="363" t="s">
        <v>1672</v>
      </c>
      <c r="AI150" s="363">
        <v>10</v>
      </c>
      <c r="AJ150" s="363">
        <v>5.9</v>
      </c>
      <c r="AK150" s="363">
        <v>3</v>
      </c>
      <c r="AL150" s="364">
        <v>27</v>
      </c>
      <c r="AM150" s="363">
        <v>8.43</v>
      </c>
      <c r="AN150" s="363">
        <v>64</v>
      </c>
      <c r="AO150" s="363">
        <v>7</v>
      </c>
      <c r="AP150" s="370">
        <f t="shared" si="48"/>
        <v>149</v>
      </c>
      <c r="AQ150" s="16">
        <f t="shared" si="49"/>
        <v>149</v>
      </c>
      <c r="AR150" s="16" t="b">
        <f t="shared" si="50"/>
        <v>0</v>
      </c>
      <c r="AS150" s="16" t="b">
        <f t="shared" si="51"/>
        <v>0</v>
      </c>
      <c r="AT150" s="16" t="b">
        <f t="shared" si="52"/>
        <v>0</v>
      </c>
      <c r="AU150" s="16" t="b">
        <f t="shared" si="53"/>
        <v>0</v>
      </c>
      <c r="EN150" s="26"/>
      <c r="EO150" s="14"/>
      <c r="EP150" s="14"/>
      <c r="EQ150" s="14"/>
      <c r="ER150" s="14"/>
      <c r="ES150" s="14"/>
      <c r="ET150" s="14"/>
      <c r="EU150" s="14"/>
      <c r="EV150" s="14"/>
      <c r="EW150" s="14"/>
      <c r="EX150" s="14"/>
      <c r="EY150" s="14"/>
      <c r="HI150" s="26"/>
      <c r="HJ150" s="14"/>
      <c r="HK150" s="14"/>
      <c r="HL150" s="14"/>
      <c r="HM150" s="101">
        <f>$HM$10</f>
        <v>-1.7749999999999999</v>
      </c>
      <c r="HN150" s="244"/>
      <c r="HO150" s="14"/>
      <c r="HP150" s="14"/>
      <c r="HQ150" s="14"/>
      <c r="HR150" s="26"/>
      <c r="HS150" s="14"/>
      <c r="HT150" s="14"/>
      <c r="HU150" s="14"/>
      <c r="HV150" s="101">
        <f>$HV$10</f>
        <v>0.41699999999999998</v>
      </c>
      <c r="HW150" s="14"/>
      <c r="HX150" s="14"/>
      <c r="HY150" s="14"/>
      <c r="HZ150" s="14"/>
      <c r="IL150" s="26"/>
      <c r="IM150" s="14"/>
      <c r="IN150" s="14"/>
      <c r="IO150" s="14"/>
      <c r="IP150" s="14"/>
      <c r="IQ150" s="14"/>
      <c r="IR150" s="14"/>
      <c r="IS150" s="14"/>
      <c r="IT150" s="14"/>
      <c r="IU150" s="14"/>
      <c r="IV150" s="14"/>
      <c r="IW150" s="14"/>
      <c r="IX150" s="16"/>
      <c r="IY150" s="16"/>
      <c r="IZ150" s="16"/>
    </row>
    <row r="151" spans="30:260" ht="15.95" customHeight="1">
      <c r="AD151" s="131">
        <v>150</v>
      </c>
      <c r="AE151" s="362">
        <v>2</v>
      </c>
      <c r="AF151" s="362">
        <v>2</v>
      </c>
      <c r="AG151" s="362">
        <v>3</v>
      </c>
      <c r="AH151" s="363" t="s">
        <v>1673</v>
      </c>
      <c r="AI151" s="363">
        <v>12</v>
      </c>
      <c r="AJ151" s="363">
        <v>7.8</v>
      </c>
      <c r="AK151" s="363">
        <v>4</v>
      </c>
      <c r="AL151" s="364">
        <v>27</v>
      </c>
      <c r="AM151" s="363">
        <v>8.43</v>
      </c>
      <c r="AN151" s="363">
        <v>70</v>
      </c>
      <c r="AO151" s="363">
        <v>9.5</v>
      </c>
      <c r="AP151" s="370">
        <f t="shared" si="48"/>
        <v>150</v>
      </c>
      <c r="AQ151" s="16" t="b">
        <f t="shared" si="49"/>
        <v>0</v>
      </c>
      <c r="AR151" s="16" t="b">
        <f t="shared" si="50"/>
        <v>0</v>
      </c>
      <c r="AS151" s="16" t="b">
        <f t="shared" si="51"/>
        <v>0</v>
      </c>
      <c r="AT151" s="16" t="b">
        <f t="shared" si="52"/>
        <v>0</v>
      </c>
      <c r="AU151" s="16" t="b">
        <f t="shared" si="53"/>
        <v>0</v>
      </c>
      <c r="ER151" s="16"/>
      <c r="ET151" s="16"/>
      <c r="HM151" s="174">
        <f>INT(HM150)</f>
        <v>-2</v>
      </c>
      <c r="HO151" s="16"/>
      <c r="HV151" s="174">
        <f>INT(HV150)</f>
        <v>0</v>
      </c>
      <c r="HX151" s="16"/>
      <c r="IL151" s="24"/>
      <c r="IM151"/>
      <c r="IN151"/>
      <c r="IO151"/>
      <c r="IQ151"/>
      <c r="IS151"/>
      <c r="IT151"/>
      <c r="IU151"/>
      <c r="IV151"/>
      <c r="IW151"/>
      <c r="IX151" s="16"/>
      <c r="IY151" s="16"/>
      <c r="IZ151" s="16"/>
    </row>
    <row r="152" spans="30:260" ht="15.95" customHeight="1">
      <c r="AD152" s="131">
        <v>151</v>
      </c>
      <c r="AE152" s="362">
        <v>2</v>
      </c>
      <c r="AF152" s="362">
        <v>2</v>
      </c>
      <c r="AG152" s="362">
        <v>3</v>
      </c>
      <c r="AH152" s="363" t="s">
        <v>1674</v>
      </c>
      <c r="AI152" s="363">
        <v>16</v>
      </c>
      <c r="AJ152" s="363">
        <v>10.050000000000001</v>
      </c>
      <c r="AK152" s="363">
        <v>4</v>
      </c>
      <c r="AL152" s="364">
        <v>18</v>
      </c>
      <c r="AM152" s="363">
        <v>12.7</v>
      </c>
      <c r="AN152" s="363">
        <v>81</v>
      </c>
      <c r="AO152" s="363">
        <v>12</v>
      </c>
      <c r="AP152" s="370">
        <f t="shared" si="48"/>
        <v>151</v>
      </c>
      <c r="AQ152" s="16" t="b">
        <f t="shared" si="49"/>
        <v>0</v>
      </c>
      <c r="AR152" s="16" t="b">
        <f t="shared" si="50"/>
        <v>0</v>
      </c>
      <c r="AS152" s="16" t="b">
        <f t="shared" si="51"/>
        <v>0</v>
      </c>
      <c r="AT152" s="16" t="b">
        <f t="shared" si="52"/>
        <v>0</v>
      </c>
      <c r="AU152" s="16" t="b">
        <f t="shared" si="53"/>
        <v>0</v>
      </c>
      <c r="EN152" s="26">
        <v>4</v>
      </c>
      <c r="EO152" s="14" t="s">
        <v>1353</v>
      </c>
      <c r="EP152" s="418" t="s">
        <v>644</v>
      </c>
      <c r="EQ152" s="14" t="s">
        <v>1350</v>
      </c>
      <c r="ER152" s="14" t="s">
        <v>1352</v>
      </c>
      <c r="ES152" s="10">
        <f>$BP$55</f>
        <v>-3.375</v>
      </c>
      <c r="ET152" s="186" t="s">
        <v>1354</v>
      </c>
      <c r="EU152" s="14">
        <f>ROUND($C$30*0.5,0)</f>
        <v>40</v>
      </c>
      <c r="EV152" s="6"/>
      <c r="EW152" s="14"/>
      <c r="EX152" s="14"/>
      <c r="EY152" s="14"/>
      <c r="FC152" s="26">
        <v>4</v>
      </c>
      <c r="FD152" s="14" t="s">
        <v>1353</v>
      </c>
      <c r="FE152" s="418" t="s">
        <v>1755</v>
      </c>
      <c r="FF152" s="14" t="s">
        <v>1350</v>
      </c>
      <c r="FG152" s="14" t="s">
        <v>1352</v>
      </c>
      <c r="FH152" s="10">
        <f>$BP$55</f>
        <v>-3.375</v>
      </c>
      <c r="FI152" s="14" t="s">
        <v>1354</v>
      </c>
      <c r="FJ152" s="14">
        <f>ROUND($BM$51*0.5,0)</f>
        <v>35</v>
      </c>
      <c r="FK152" s="6"/>
      <c r="FL152" s="14"/>
      <c r="FM152" s="14"/>
      <c r="FN152" s="14"/>
      <c r="FO152" s="16"/>
      <c r="FP152" s="16"/>
      <c r="FQ152" s="16"/>
      <c r="HI152" s="26">
        <v>4</v>
      </c>
      <c r="HJ152" s="14" t="s">
        <v>180</v>
      </c>
      <c r="HK152" s="14" t="s">
        <v>445</v>
      </c>
      <c r="HL152" s="14" t="s">
        <v>181</v>
      </c>
      <c r="HM152" s="14" t="str">
        <f>SUBSTITUTE(HM150,",",".")</f>
        <v>-1.775</v>
      </c>
      <c r="HN152" s="10" t="s">
        <v>1354</v>
      </c>
      <c r="HO152" s="14">
        <f>$HO$12</f>
        <v>64</v>
      </c>
      <c r="HP152" s="14"/>
      <c r="HQ152" s="14"/>
      <c r="HR152" s="26">
        <v>4</v>
      </c>
      <c r="HS152" s="14" t="s">
        <v>180</v>
      </c>
      <c r="HT152" s="14" t="s">
        <v>445</v>
      </c>
      <c r="HU152" s="14" t="s">
        <v>181</v>
      </c>
      <c r="HV152" s="14" t="str">
        <f>SUBSTITUTE(HV150,",",".")</f>
        <v>0.417</v>
      </c>
      <c r="HW152" s="14" t="str">
        <f>IF(HV150=HV151,".","")</f>
        <v/>
      </c>
      <c r="HX152" s="14"/>
      <c r="HY152" s="14"/>
      <c r="HZ152" s="14"/>
      <c r="IL152" s="26">
        <v>4</v>
      </c>
      <c r="IM152" s="14" t="s">
        <v>1754</v>
      </c>
      <c r="IN152" s="14" t="s">
        <v>1756</v>
      </c>
      <c r="IO152" s="418" t="s">
        <v>1755</v>
      </c>
      <c r="IP152" s="14" t="s">
        <v>1350</v>
      </c>
      <c r="IQ152" s="14" t="s">
        <v>1352</v>
      </c>
      <c r="IR152" s="416">
        <f>$IR$12</f>
        <v>3.375</v>
      </c>
      <c r="IS152" s="186" t="s">
        <v>841</v>
      </c>
      <c r="IT152" s="6">
        <f>$IT$12</f>
        <v>40</v>
      </c>
      <c r="IU152" s="14"/>
      <c r="IV152" s="14"/>
      <c r="IW152" s="14"/>
      <c r="IX152" s="16"/>
      <c r="IY152" s="16"/>
      <c r="IZ152" s="16"/>
    </row>
    <row r="153" spans="30:260" ht="15.95" customHeight="1">
      <c r="AD153" s="131">
        <v>152</v>
      </c>
      <c r="AE153" s="362">
        <v>2</v>
      </c>
      <c r="AF153" s="362">
        <v>2</v>
      </c>
      <c r="AG153" s="362">
        <v>3</v>
      </c>
      <c r="AH153" s="363" t="s">
        <v>1675</v>
      </c>
      <c r="AI153" s="363">
        <v>18</v>
      </c>
      <c r="AJ153" s="363">
        <v>13.45</v>
      </c>
      <c r="AK153" s="363">
        <v>4</v>
      </c>
      <c r="AL153" s="364">
        <v>18</v>
      </c>
      <c r="AM153" s="363">
        <v>12.7</v>
      </c>
      <c r="AN153" s="363">
        <v>81</v>
      </c>
      <c r="AO153" s="363">
        <v>15</v>
      </c>
      <c r="AP153" s="370">
        <f t="shared" si="48"/>
        <v>152</v>
      </c>
      <c r="AQ153" s="16" t="b">
        <f t="shared" si="49"/>
        <v>0</v>
      </c>
      <c r="AR153" s="16" t="b">
        <f t="shared" si="50"/>
        <v>0</v>
      </c>
      <c r="AS153" s="16" t="b">
        <f t="shared" si="51"/>
        <v>0</v>
      </c>
      <c r="AT153" s="16" t="b">
        <f t="shared" si="52"/>
        <v>0</v>
      </c>
      <c r="AU153" s="16" t="b">
        <f t="shared" si="53"/>
        <v>0</v>
      </c>
      <c r="EN153" s="26"/>
      <c r="EO153" s="14"/>
      <c r="EP153" s="14"/>
      <c r="EQ153" s="103">
        <f>ROUND($BP$49/2,3)</f>
        <v>4.0629999999999997</v>
      </c>
      <c r="ER153" s="103"/>
      <c r="ES153" s="101">
        <f>-$BP$55</f>
        <v>3.375</v>
      </c>
      <c r="ET153" s="103"/>
      <c r="EU153" s="103">
        <f>ROUND($BP$54,3)</f>
        <v>0.313</v>
      </c>
      <c r="EV153" s="14"/>
      <c r="EW153" s="14"/>
      <c r="EX153" s="14"/>
      <c r="EY153" s="14"/>
      <c r="FC153" s="26"/>
      <c r="FD153" s="14"/>
      <c r="FE153" s="14"/>
      <c r="FF153" s="103">
        <f>ROUND($BJ$51/2,3)</f>
        <v>3.84</v>
      </c>
      <c r="FG153" s="103"/>
      <c r="FH153" s="101">
        <f>-$BP$55</f>
        <v>3.375</v>
      </c>
      <c r="FI153" s="103"/>
      <c r="FJ153" s="103">
        <f>ROUND($BP$54,3)</f>
        <v>0.313</v>
      </c>
      <c r="FK153" s="14"/>
      <c r="FL153" s="14"/>
      <c r="FM153" s="14"/>
      <c r="FN153" s="14"/>
      <c r="FO153" s="16"/>
      <c r="FP153" s="16"/>
      <c r="FQ153" s="16"/>
      <c r="HI153" s="26"/>
      <c r="HJ153" s="14"/>
      <c r="HK153" s="14"/>
      <c r="HL153" s="103"/>
      <c r="HM153" s="175">
        <f>$HM$13</f>
        <v>-17.812999999999999</v>
      </c>
      <c r="HN153" s="14"/>
      <c r="HO153" s="14"/>
      <c r="HP153" s="14"/>
      <c r="HQ153" s="14"/>
      <c r="HR153" s="26"/>
      <c r="HS153" s="14"/>
      <c r="HT153" s="14"/>
      <c r="HU153" s="103"/>
      <c r="HV153" s="175"/>
      <c r="HW153" s="14"/>
      <c r="HX153" s="14"/>
      <c r="HY153" s="14"/>
      <c r="HZ153" s="14"/>
      <c r="IL153" s="26"/>
      <c r="IM153" s="14"/>
      <c r="IN153" s="14"/>
      <c r="IO153" s="103">
        <f>$IO$13</f>
        <v>4.0629999999999997</v>
      </c>
      <c r="IP153" s="103"/>
      <c r="IQ153" s="101">
        <f>$IQ$13</f>
        <v>-3.375</v>
      </c>
      <c r="IR153" s="103"/>
      <c r="IS153" s="103">
        <f>$IS$13</f>
        <v>-0.313</v>
      </c>
      <c r="IT153" s="14"/>
      <c r="IU153" s="14"/>
      <c r="IV153" s="14"/>
      <c r="IW153" s="14"/>
      <c r="IX153" s="16"/>
      <c r="IY153" s="16"/>
      <c r="IZ153" s="16"/>
    </row>
    <row r="154" spans="30:260" ht="15.95" customHeight="1">
      <c r="AD154" s="131">
        <v>153</v>
      </c>
      <c r="AE154" s="362">
        <v>1</v>
      </c>
      <c r="AF154" s="362">
        <v>1</v>
      </c>
      <c r="AG154" s="362">
        <v>4</v>
      </c>
      <c r="AH154" s="363" t="s">
        <v>1676</v>
      </c>
      <c r="AI154" s="363">
        <v>20</v>
      </c>
      <c r="AJ154" s="363">
        <v>19.899999999999999</v>
      </c>
      <c r="AK154" s="363">
        <v>5</v>
      </c>
      <c r="AL154" s="364">
        <v>11</v>
      </c>
      <c r="AM154" s="363">
        <v>34.6</v>
      </c>
      <c r="AN154" s="363">
        <v>100</v>
      </c>
      <c r="AO154" s="363">
        <v>32.799999999999997</v>
      </c>
      <c r="AP154" s="370">
        <f t="shared" si="48"/>
        <v>153</v>
      </c>
      <c r="AQ154" s="16" t="b">
        <f t="shared" si="49"/>
        <v>0</v>
      </c>
      <c r="AR154" s="16" t="b">
        <f t="shared" si="50"/>
        <v>0</v>
      </c>
      <c r="AS154" s="16">
        <f t="shared" si="51"/>
        <v>153</v>
      </c>
      <c r="AT154" s="16" t="b">
        <f t="shared" si="52"/>
        <v>0</v>
      </c>
      <c r="AU154" s="16" t="b">
        <f t="shared" si="53"/>
        <v>0</v>
      </c>
      <c r="EN154" s="25"/>
      <c r="EO154" s="16"/>
      <c r="EP154" s="16"/>
      <c r="EQ154" s="102">
        <f>INT(EQ153)</f>
        <v>4</v>
      </c>
      <c r="ER154" s="102"/>
      <c r="ES154" s="102">
        <f>INT(ES153)</f>
        <v>3</v>
      </c>
      <c r="ET154" s="102"/>
      <c r="EU154" s="102">
        <f>INT(EU153)</f>
        <v>0</v>
      </c>
      <c r="EV154" s="16"/>
      <c r="EW154" s="16"/>
      <c r="EX154" s="16"/>
      <c r="EY154" s="16"/>
      <c r="FF154" s="102">
        <f>INT(FF153)</f>
        <v>3</v>
      </c>
      <c r="FG154" s="102"/>
      <c r="FH154" s="102">
        <f>INT(FH153)</f>
        <v>3</v>
      </c>
      <c r="FI154" s="102"/>
      <c r="FJ154" s="102">
        <f>INT(FJ153)</f>
        <v>0</v>
      </c>
      <c r="FO154" s="16"/>
      <c r="FP154" s="16"/>
      <c r="FQ154" s="16"/>
      <c r="HI154" s="25"/>
      <c r="HL154" s="104"/>
      <c r="HM154" s="102">
        <f>INT(HM153)</f>
        <v>-18</v>
      </c>
      <c r="HR154" s="25"/>
      <c r="HU154" s="104"/>
      <c r="HV154" s="102"/>
      <c r="HZ154" s="16"/>
      <c r="IO154" s="102">
        <f>INT(IO153)</f>
        <v>4</v>
      </c>
      <c r="IP154" s="102"/>
      <c r="IQ154" s="102">
        <f>INT(IQ153)</f>
        <v>-4</v>
      </c>
      <c r="IR154" s="102"/>
      <c r="IS154" s="102">
        <f>INT(IS153)</f>
        <v>-1</v>
      </c>
      <c r="IX154" s="16"/>
      <c r="IY154" s="16"/>
      <c r="IZ154" s="16"/>
    </row>
    <row r="155" spans="30:260" ht="15.95" customHeight="1">
      <c r="AD155" s="131">
        <v>154</v>
      </c>
      <c r="AE155" s="362">
        <v>1</v>
      </c>
      <c r="AF155" s="362">
        <v>1</v>
      </c>
      <c r="AG155" s="362">
        <v>4</v>
      </c>
      <c r="AH155" s="363" t="s">
        <v>1677</v>
      </c>
      <c r="AI155" s="363">
        <v>16</v>
      </c>
      <c r="AJ155" s="363">
        <v>15.9</v>
      </c>
      <c r="AK155" s="363">
        <v>5</v>
      </c>
      <c r="AL155" s="364">
        <v>11</v>
      </c>
      <c r="AM155" s="363">
        <v>34.6</v>
      </c>
      <c r="AN155" s="363">
        <v>100</v>
      </c>
      <c r="AO155" s="363">
        <v>32.799999999999997</v>
      </c>
      <c r="AP155" s="370">
        <f t="shared" si="48"/>
        <v>154</v>
      </c>
      <c r="AQ155" s="16" t="b">
        <f t="shared" si="49"/>
        <v>0</v>
      </c>
      <c r="AR155" s="16" t="b">
        <f t="shared" si="50"/>
        <v>0</v>
      </c>
      <c r="AS155" s="16">
        <f t="shared" si="51"/>
        <v>154</v>
      </c>
      <c r="AT155" s="16" t="b">
        <f t="shared" si="52"/>
        <v>0</v>
      </c>
      <c r="AU155" s="16" t="b">
        <f t="shared" si="53"/>
        <v>0</v>
      </c>
      <c r="EN155" s="26">
        <v>5</v>
      </c>
      <c r="EO155" s="14" t="s">
        <v>675</v>
      </c>
      <c r="EP155" s="14" t="s">
        <v>674</v>
      </c>
      <c r="EQ155" s="14" t="str">
        <f>SUBSTITUTE(EQ153,",",".")</f>
        <v>4.063</v>
      </c>
      <c r="ER155" s="14" t="str">
        <f>IF(EQ153=EQ154,". Y"," Y")</f>
        <v xml:space="preserve"> Y</v>
      </c>
      <c r="ES155" s="14" t="str">
        <f>SUBSTITUTE(ES153,",",".")</f>
        <v>3.375</v>
      </c>
      <c r="ET155" s="14" t="str">
        <f>IF(ES153=ES154,". Z"," Z")</f>
        <v xml:space="preserve"> Z</v>
      </c>
      <c r="EU155" s="14" t="str">
        <f>SUBSTITUTE(EU153,",",".")</f>
        <v>0.313</v>
      </c>
      <c r="EV155" s="418" t="s">
        <v>1972</v>
      </c>
      <c r="EW155" s="14">
        <f>$BP$52</f>
        <v>3.4329999999999998</v>
      </c>
      <c r="EX155" s="186"/>
      <c r="EY155" s="97"/>
      <c r="EZ155" s="14"/>
      <c r="FA155" s="14"/>
      <c r="FB155" s="14"/>
      <c r="FC155" s="26">
        <v>5</v>
      </c>
      <c r="FD155" s="14" t="s">
        <v>675</v>
      </c>
      <c r="FE155" s="14" t="s">
        <v>674</v>
      </c>
      <c r="FF155" s="14" t="str">
        <f>SUBSTITUTE(FF153,",",".")</f>
        <v>3.84</v>
      </c>
      <c r="FG155" s="14" t="str">
        <f>IF(FF153=FF154,". Y"," Y")</f>
        <v xml:space="preserve"> Y</v>
      </c>
      <c r="FH155" s="14" t="str">
        <f>SUBSTITUTE(FH153,",",".")</f>
        <v>3.375</v>
      </c>
      <c r="FI155" s="14" t="str">
        <f>IF(FH153=FH154,". Z"," Z")</f>
        <v xml:space="preserve"> Z</v>
      </c>
      <c r="FJ155" s="14" t="str">
        <f>SUBSTITUTE(FJ153,",",".")</f>
        <v>0.313</v>
      </c>
      <c r="FK155" s="418" t="s">
        <v>1972</v>
      </c>
      <c r="FL155" s="14">
        <f>$BK$51</f>
        <v>3.403</v>
      </c>
      <c r="FM155" s="14"/>
      <c r="FN155" s="14"/>
      <c r="FO155" s="14"/>
      <c r="FP155" s="14"/>
      <c r="FQ155" s="14"/>
      <c r="HI155" s="26">
        <v>5</v>
      </c>
      <c r="HJ155" s="14" t="s">
        <v>446</v>
      </c>
      <c r="HK155" s="14" t="s">
        <v>175</v>
      </c>
      <c r="HL155" s="14" t="s">
        <v>181</v>
      </c>
      <c r="HM155" s="14" t="str">
        <f>SUBSTITUTE(HM153,",",".")</f>
        <v>-17.813</v>
      </c>
      <c r="HN155" s="14" t="str">
        <f>IF(HM153=HM154,".","")</f>
        <v/>
      </c>
      <c r="HO155" s="14"/>
      <c r="HP155" s="14"/>
      <c r="HQ155" s="14"/>
      <c r="HR155" s="26">
        <v>5</v>
      </c>
      <c r="HS155" s="14" t="s">
        <v>1353</v>
      </c>
      <c r="HT155" s="418" t="s">
        <v>644</v>
      </c>
      <c r="HU155" s="186" t="s">
        <v>1073</v>
      </c>
      <c r="HV155" s="10">
        <f>$HV$15</f>
        <v>-3</v>
      </c>
      <c r="HW155" s="186" t="s">
        <v>1351</v>
      </c>
      <c r="HX155" s="14" t="s">
        <v>1354</v>
      </c>
      <c r="HY155" s="14">
        <f>$HY$15</f>
        <v>48</v>
      </c>
      <c r="HZ155" s="97"/>
      <c r="IA155" s="14"/>
      <c r="IL155" s="26">
        <v>5</v>
      </c>
      <c r="IM155" s="14" t="s">
        <v>1749</v>
      </c>
      <c r="IN155" s="14" t="s">
        <v>674</v>
      </c>
      <c r="IO155" s="14" t="str">
        <f>SUBSTITUTE(IO153,",",".")</f>
        <v>4.063</v>
      </c>
      <c r="IP155" s="14" t="str">
        <f>IF(IO153=IO154,". Y"," Y")</f>
        <v xml:space="preserve"> Y</v>
      </c>
      <c r="IQ155" s="14" t="str">
        <f>SUBSTITUTE(IQ153,",",".")</f>
        <v>-3.375</v>
      </c>
      <c r="IR155" s="14" t="str">
        <f>IF(IQ153=IQ154,". Z"," Z")</f>
        <v xml:space="preserve"> Z</v>
      </c>
      <c r="IS155" s="14" t="str">
        <f>SUBSTITUTE(IS153,",",".")</f>
        <v>-0.313</v>
      </c>
      <c r="IT155" s="418" t="s">
        <v>1972</v>
      </c>
      <c r="IU155" s="10">
        <f>$IU$15</f>
        <v>3.4329999999999998</v>
      </c>
      <c r="IV155" s="14"/>
      <c r="IW155" s="14"/>
      <c r="IX155" s="14"/>
      <c r="IY155" s="14"/>
      <c r="IZ155" s="14"/>
    </row>
    <row r="156" spans="30:260" ht="15.95" customHeight="1">
      <c r="AD156" s="131">
        <v>155</v>
      </c>
      <c r="AE156" s="362">
        <v>1</v>
      </c>
      <c r="AF156" s="362">
        <v>1</v>
      </c>
      <c r="AG156" s="362">
        <v>4</v>
      </c>
      <c r="AH156" s="363" t="s">
        <v>1678</v>
      </c>
      <c r="AI156" s="363">
        <v>18</v>
      </c>
      <c r="AJ156" s="363">
        <v>17.899999999999999</v>
      </c>
      <c r="AK156" s="363">
        <v>5</v>
      </c>
      <c r="AL156" s="364">
        <v>14</v>
      </c>
      <c r="AM156" s="363">
        <v>34.5</v>
      </c>
      <c r="AN156" s="363">
        <v>100</v>
      </c>
      <c r="AO156" s="363">
        <v>26</v>
      </c>
      <c r="AP156" s="370">
        <f t="shared" si="48"/>
        <v>155</v>
      </c>
      <c r="AQ156" s="16" t="b">
        <f t="shared" si="49"/>
        <v>0</v>
      </c>
      <c r="AR156" s="16" t="b">
        <f t="shared" si="50"/>
        <v>0</v>
      </c>
      <c r="AS156" s="16">
        <f t="shared" si="51"/>
        <v>155</v>
      </c>
      <c r="AT156" s="16" t="b">
        <f t="shared" si="52"/>
        <v>0</v>
      </c>
      <c r="AU156" s="16" t="b">
        <f t="shared" si="53"/>
        <v>0</v>
      </c>
      <c r="EN156" s="26"/>
      <c r="EO156" s="14"/>
      <c r="EP156" s="14"/>
      <c r="EQ156" s="14"/>
      <c r="ER156" s="14"/>
      <c r="ES156" s="14"/>
      <c r="ET156" s="14"/>
      <c r="EU156" s="101">
        <f>$BL$6</f>
        <v>1.25</v>
      </c>
      <c r="EV156" s="103"/>
      <c r="EW156" s="103">
        <f>-ROUND($BP$49/2,3)</f>
        <v>-4.0629999999999997</v>
      </c>
      <c r="EX156" s="14"/>
      <c r="EY156" s="14"/>
      <c r="FC156" s="26"/>
      <c r="FD156" s="14"/>
      <c r="FE156" s="14"/>
      <c r="FF156" s="14"/>
      <c r="FG156" s="14"/>
      <c r="FH156" s="14"/>
      <c r="FI156" s="14"/>
      <c r="FJ156" s="101">
        <f>$BL$6</f>
        <v>1.25</v>
      </c>
      <c r="FK156" s="103"/>
      <c r="FL156" s="103">
        <f>-ROUND($BJ$51/2,3)</f>
        <v>-3.84</v>
      </c>
      <c r="FM156" s="14"/>
      <c r="FN156" s="14"/>
      <c r="FO156" s="16"/>
      <c r="FP156" s="16"/>
      <c r="FQ156" s="16"/>
      <c r="GJ156" s="423">
        <f>$GJ$16</f>
        <v>-4.0629999999999997</v>
      </c>
      <c r="GK156" s="423"/>
      <c r="GL156" s="423">
        <f>$GL$16</f>
        <v>4.0720000000000001</v>
      </c>
      <c r="GM156" s="423"/>
      <c r="GN156" s="423">
        <f>$GN$16</f>
        <v>0.313</v>
      </c>
      <c r="GO156" s="423"/>
      <c r="GP156" s="423">
        <f>$GP$16</f>
        <v>-4.0629999999999997</v>
      </c>
      <c r="GQ156" s="423"/>
      <c r="GR156" s="423">
        <f>$GR$16</f>
        <v>0.01</v>
      </c>
      <c r="GS156" s="423"/>
      <c r="GX156" s="14">
        <f>$GX$16</f>
        <v>-3.84</v>
      </c>
      <c r="GZ156" s="14">
        <f>$GZ$16</f>
        <v>3.85</v>
      </c>
      <c r="HB156" s="14">
        <f>$HB$16</f>
        <v>0.313</v>
      </c>
      <c r="HD156" s="14">
        <f>$HD$16</f>
        <v>-3.84</v>
      </c>
      <c r="HF156" s="14">
        <f>$HF$16</f>
        <v>0.01</v>
      </c>
      <c r="HI156" s="26"/>
      <c r="HJ156" s="14"/>
      <c r="HK156" s="14"/>
      <c r="HL156" s="14"/>
      <c r="HM156" s="14"/>
      <c r="HN156" s="14"/>
      <c r="HO156" s="14"/>
      <c r="HP156" s="14"/>
      <c r="HQ156" s="14"/>
      <c r="HR156" s="26"/>
      <c r="HS156" s="14"/>
      <c r="HT156" s="14"/>
      <c r="HU156" s="187">
        <f>$HU$16</f>
        <v>7.0629999999999997</v>
      </c>
      <c r="HV156" s="14"/>
      <c r="HW156" s="14"/>
      <c r="HX156" s="14"/>
      <c r="HY156" s="14">
        <f>$HY$16</f>
        <v>0.625</v>
      </c>
      <c r="HZ156" s="14"/>
      <c r="IL156" s="26"/>
      <c r="IM156" s="14"/>
      <c r="IN156" s="14"/>
      <c r="IO156" s="14"/>
      <c r="IP156" s="14"/>
      <c r="IQ156" s="14"/>
      <c r="IR156" s="14"/>
      <c r="IS156" s="101">
        <f>$IS$16</f>
        <v>-1.25</v>
      </c>
      <c r="IT156" s="103"/>
      <c r="IU156" s="103">
        <f>$IU$16</f>
        <v>-4.0629999999999997</v>
      </c>
      <c r="IV156" s="14"/>
      <c r="IW156" s="14"/>
      <c r="IX156" s="16"/>
      <c r="IY156" s="16"/>
      <c r="IZ156" s="16"/>
    </row>
    <row r="157" spans="30:260" ht="15.95" customHeight="1">
      <c r="AD157" s="131">
        <v>156</v>
      </c>
      <c r="AE157" s="362">
        <v>1</v>
      </c>
      <c r="AF157" s="362">
        <v>1</v>
      </c>
      <c r="AG157" s="362">
        <v>4</v>
      </c>
      <c r="AH157" s="363" t="s">
        <v>1679</v>
      </c>
      <c r="AI157" s="363">
        <v>16</v>
      </c>
      <c r="AJ157" s="363">
        <v>15.9</v>
      </c>
      <c r="AK157" s="363">
        <v>5</v>
      </c>
      <c r="AL157" s="364">
        <v>14</v>
      </c>
      <c r="AM157" s="363">
        <v>43.5</v>
      </c>
      <c r="AN157" s="363">
        <v>104</v>
      </c>
      <c r="AO157" s="363">
        <v>20.5</v>
      </c>
      <c r="AP157" s="370">
        <f t="shared" si="48"/>
        <v>156</v>
      </c>
      <c r="AQ157" s="16" t="b">
        <f t="shared" si="49"/>
        <v>0</v>
      </c>
      <c r="AR157" s="16" t="b">
        <f t="shared" si="50"/>
        <v>0</v>
      </c>
      <c r="AS157" s="16">
        <f t="shared" si="51"/>
        <v>156</v>
      </c>
      <c r="AT157" s="16" t="b">
        <f t="shared" si="52"/>
        <v>0</v>
      </c>
      <c r="AU157" s="16" t="b">
        <f t="shared" si="53"/>
        <v>0</v>
      </c>
      <c r="EU157" s="102">
        <f>INT(EU156)</f>
        <v>1</v>
      </c>
      <c r="EV157" s="104"/>
      <c r="EW157" s="102">
        <f>INT(EW156)</f>
        <v>-5</v>
      </c>
      <c r="FC157" s="24"/>
      <c r="FD157"/>
      <c r="FE157"/>
      <c r="FF157"/>
      <c r="FG157"/>
      <c r="FH157"/>
      <c r="FI157"/>
      <c r="FJ157" s="102">
        <f>INT(FJ156)</f>
        <v>1</v>
      </c>
      <c r="FK157" s="104"/>
      <c r="FL157" s="102">
        <f>INT(FL156)</f>
        <v>-4</v>
      </c>
      <c r="FM157"/>
      <c r="FN157"/>
      <c r="FO157" s="16"/>
      <c r="FP157" s="16"/>
      <c r="FQ157" s="16"/>
      <c r="GJ157" s="424">
        <f>INT(GJ156)</f>
        <v>-5</v>
      </c>
      <c r="GK157" s="423"/>
      <c r="GL157" s="424">
        <f>INT(GL156)</f>
        <v>4</v>
      </c>
      <c r="GM157" s="423"/>
      <c r="GN157" s="424">
        <f>INT(GN156)</f>
        <v>0</v>
      </c>
      <c r="GO157" s="423"/>
      <c r="GP157" s="424">
        <f>INT(GP156)</f>
        <v>-5</v>
      </c>
      <c r="GQ157" s="423"/>
      <c r="GR157" s="424">
        <f>INT(GR156)</f>
        <v>0</v>
      </c>
      <c r="GS157" s="423"/>
      <c r="GX157" s="16">
        <f>INT(GX156)</f>
        <v>-4</v>
      </c>
      <c r="GZ157" s="16">
        <f>INT(GZ156)</f>
        <v>3</v>
      </c>
      <c r="HB157" s="16">
        <f>INT(HB156)</f>
        <v>0</v>
      </c>
      <c r="HD157" s="16">
        <f>INT(HD156)</f>
        <v>-4</v>
      </c>
      <c r="HF157" s="16">
        <f>INT(HF156)</f>
        <v>0</v>
      </c>
      <c r="HM157" s="16"/>
      <c r="HO157" s="16"/>
      <c r="HU157" s="102">
        <f>INT(HU156)</f>
        <v>7</v>
      </c>
      <c r="HV157" s="16"/>
      <c r="HX157" s="16"/>
      <c r="HY157" s="102">
        <f>INT(HY156)</f>
        <v>0</v>
      </c>
      <c r="IL157" s="24"/>
      <c r="IM157"/>
      <c r="IN157"/>
      <c r="IO157"/>
      <c r="IP157"/>
      <c r="IQ157"/>
      <c r="IR157"/>
      <c r="IS157" s="102">
        <f>INT(IS156)</f>
        <v>-2</v>
      </c>
      <c r="IT157" s="104"/>
      <c r="IU157" s="102">
        <f>INT(IU156)</f>
        <v>-5</v>
      </c>
      <c r="IV157"/>
      <c r="IW157"/>
      <c r="IX157" s="16"/>
      <c r="IY157" s="16"/>
      <c r="IZ157" s="16"/>
    </row>
    <row r="158" spans="30:260" ht="15.95" customHeight="1">
      <c r="AD158" s="131">
        <v>157</v>
      </c>
      <c r="AE158" s="362">
        <v>1</v>
      </c>
      <c r="AF158" s="362">
        <v>1</v>
      </c>
      <c r="AG158" s="362">
        <v>4</v>
      </c>
      <c r="AH158" s="363" t="s">
        <v>1680</v>
      </c>
      <c r="AI158" s="363">
        <v>14</v>
      </c>
      <c r="AJ158" s="363">
        <v>13.9</v>
      </c>
      <c r="AK158" s="363">
        <v>4</v>
      </c>
      <c r="AL158" s="364">
        <v>19</v>
      </c>
      <c r="AM158" s="363">
        <v>33.4</v>
      </c>
      <c r="AN158" s="363">
        <v>92</v>
      </c>
      <c r="AO158" s="363">
        <v>16.399999999999999</v>
      </c>
      <c r="AP158" s="370">
        <f t="shared" si="48"/>
        <v>157</v>
      </c>
      <c r="AQ158" s="16" t="b">
        <f t="shared" si="49"/>
        <v>0</v>
      </c>
      <c r="AR158" s="16" t="b">
        <f t="shared" si="50"/>
        <v>0</v>
      </c>
      <c r="AS158" s="16">
        <f t="shared" si="51"/>
        <v>157</v>
      </c>
      <c r="AT158" s="16" t="b">
        <f t="shared" si="52"/>
        <v>0</v>
      </c>
      <c r="AU158" s="16" t="b">
        <f t="shared" si="53"/>
        <v>0</v>
      </c>
      <c r="EN158" s="26">
        <v>6</v>
      </c>
      <c r="EO158" s="14" t="s">
        <v>675</v>
      </c>
      <c r="EP158" s="14" t="s">
        <v>674</v>
      </c>
      <c r="EQ158" s="14">
        <v>0</v>
      </c>
      <c r="ER158" s="14" t="s">
        <v>676</v>
      </c>
      <c r="ES158" s="14">
        <v>0</v>
      </c>
      <c r="ET158" s="14" t="s">
        <v>677</v>
      </c>
      <c r="EU158" s="14" t="str">
        <f>SUBSTITUTE(EU156,",",".")</f>
        <v>1.25</v>
      </c>
      <c r="EV158" s="14" t="str">
        <f>IF(EU156=EU157,". I"," I")</f>
        <v xml:space="preserve"> I</v>
      </c>
      <c r="EW158" s="14" t="str">
        <f>SUBSTITUTE(EW156,",",".")</f>
        <v>-4.063</v>
      </c>
      <c r="EX158" s="14" t="str">
        <f>IF(EW156=EW157,". J"," J")</f>
        <v xml:space="preserve"> J</v>
      </c>
      <c r="EY158" s="14">
        <v>0</v>
      </c>
      <c r="EZ158" s="16" t="s">
        <v>255</v>
      </c>
      <c r="FA158" s="16" t="s">
        <v>1354</v>
      </c>
      <c r="FB158" s="176">
        <f>$C$30</f>
        <v>80</v>
      </c>
      <c r="FC158" s="26">
        <v>6</v>
      </c>
      <c r="FD158" s="14" t="s">
        <v>675</v>
      </c>
      <c r="FE158" s="14" t="s">
        <v>674</v>
      </c>
      <c r="FF158" s="14">
        <v>0</v>
      </c>
      <c r="FG158" s="14" t="s">
        <v>676</v>
      </c>
      <c r="FH158" s="14">
        <v>0</v>
      </c>
      <c r="FI158" s="14" t="s">
        <v>677</v>
      </c>
      <c r="FJ158" s="14" t="str">
        <f>SUBSTITUTE(FJ156,",",".")</f>
        <v>1.25</v>
      </c>
      <c r="FK158" s="14" t="str">
        <f>IF(FJ156=FJ157,". I"," I")</f>
        <v xml:space="preserve"> I</v>
      </c>
      <c r="FL158" s="14" t="str">
        <f>SUBSTITUTE(FL156,",",".")</f>
        <v>-3.84</v>
      </c>
      <c r="FM158" s="14" t="str">
        <f>IF(FL156=FL157,". J"," J")</f>
        <v xml:space="preserve"> J</v>
      </c>
      <c r="FN158" s="14">
        <v>0</v>
      </c>
      <c r="FO158" s="16" t="s">
        <v>255</v>
      </c>
      <c r="FP158" s="16" t="s">
        <v>1354</v>
      </c>
      <c r="FQ158" s="16">
        <f>$BM$51</f>
        <v>70</v>
      </c>
      <c r="GG158" s="26">
        <v>6</v>
      </c>
      <c r="GH158" s="14" t="s">
        <v>675</v>
      </c>
      <c r="GI158" s="14" t="s">
        <v>674</v>
      </c>
      <c r="GJ158" s="14" t="str">
        <f>SUBSTITUTE(GJ156,",",".")</f>
        <v>-4.063</v>
      </c>
      <c r="GK158" s="14" t="str">
        <f>IF(GJ156=GJ157,". Y"," Y")</f>
        <v xml:space="preserve"> Y</v>
      </c>
      <c r="GL158" s="14" t="str">
        <f>SUBSTITUTE(GL156,",",".")</f>
        <v>4.072</v>
      </c>
      <c r="GM158" s="14" t="str">
        <f>IF(GL156=GL157,". Z"," Z")</f>
        <v xml:space="preserve"> Z</v>
      </c>
      <c r="GN158" s="14" t="str">
        <f>SUBSTITUTE(GN156,",",".")</f>
        <v>0.313</v>
      </c>
      <c r="GO158" s="14" t="str">
        <f>IF(GN156=GN157,". I"," I")</f>
        <v xml:space="preserve"> I</v>
      </c>
      <c r="GP158" s="14" t="str">
        <f>SUBSTITUTE(GP156,",",".")</f>
        <v>-4.063</v>
      </c>
      <c r="GQ158" s="14" t="str">
        <f>IF(GP156=GP157,". J"," J")</f>
        <v xml:space="preserve"> J</v>
      </c>
      <c r="GR158" s="14" t="str">
        <f>SUBSTITUTE(GR156,",",".")</f>
        <v>0.01</v>
      </c>
      <c r="GS158" s="14" t="s">
        <v>1354</v>
      </c>
      <c r="GT158" s="97">
        <f>$C$30</f>
        <v>80</v>
      </c>
      <c r="GU158" s="26">
        <v>6</v>
      </c>
      <c r="GV158" s="14" t="s">
        <v>675</v>
      </c>
      <c r="GW158" s="14" t="s">
        <v>674</v>
      </c>
      <c r="GX158" s="14" t="str">
        <f>SUBSTITUTE(GX156,",",".")</f>
        <v>-3.84</v>
      </c>
      <c r="GY158" s="14" t="str">
        <f>IF(GX156=GX157,". Y"," Y")</f>
        <v xml:space="preserve"> Y</v>
      </c>
      <c r="GZ158" s="14" t="str">
        <f>SUBSTITUTE(GZ156,",",".")</f>
        <v>3.85</v>
      </c>
      <c r="HA158" s="14" t="str">
        <f>IF(GZ156=GZ157,". Z"," Z")</f>
        <v xml:space="preserve"> Z</v>
      </c>
      <c r="HB158" s="14" t="str">
        <f>SUBSTITUTE(HB156,",",".")</f>
        <v>0.313</v>
      </c>
      <c r="HC158" s="14" t="str">
        <f>IF(HB156=HB157,". I"," I")</f>
        <v xml:space="preserve"> I</v>
      </c>
      <c r="HD158" s="14" t="str">
        <f>SUBSTITUTE(HD156,",",".")</f>
        <v>-3.84</v>
      </c>
      <c r="HE158" s="14" t="str">
        <f>IF(HD156=HD157,". J"," J")</f>
        <v xml:space="preserve"> J</v>
      </c>
      <c r="HF158" s="14" t="str">
        <f>SUBSTITUTE(HF156,",",".")</f>
        <v>0.01</v>
      </c>
      <c r="HG158" s="14" t="s">
        <v>1354</v>
      </c>
      <c r="HH158" s="14">
        <f>$BM$51</f>
        <v>70</v>
      </c>
      <c r="HI158" s="26">
        <v>6</v>
      </c>
      <c r="HJ158" s="14" t="s">
        <v>180</v>
      </c>
      <c r="HK158" s="14" t="s">
        <v>447</v>
      </c>
      <c r="HL158" s="418" t="s">
        <v>644</v>
      </c>
      <c r="HM158" s="14" t="s">
        <v>1350</v>
      </c>
      <c r="HN158" s="14" t="s">
        <v>1352</v>
      </c>
      <c r="HO158" s="10">
        <f>$HO$18</f>
        <v>-3.375</v>
      </c>
      <c r="HP158" s="10" t="s">
        <v>1354</v>
      </c>
      <c r="HQ158" s="14">
        <f>$HQ$18</f>
        <v>48</v>
      </c>
      <c r="HR158" s="26">
        <v>6</v>
      </c>
      <c r="HS158" s="14" t="s">
        <v>675</v>
      </c>
      <c r="HT158" s="14" t="s">
        <v>674</v>
      </c>
      <c r="HU158" s="14" t="str">
        <f>SUBSTITUTE(HU156,",",".")</f>
        <v>7.063</v>
      </c>
      <c r="HV158" s="14" t="str">
        <f>IF(HU156=HU157,". Y"," Y")</f>
        <v xml:space="preserve"> Y</v>
      </c>
      <c r="HW158" s="14">
        <v>0</v>
      </c>
      <c r="HX158" s="14" t="str">
        <f>IF(HW156=HW157,". Z"," Z")</f>
        <v>. Z</v>
      </c>
      <c r="HY158" s="14" t="str">
        <f>SUBSTITUTE(HY156,",",".")</f>
        <v>0.625</v>
      </c>
      <c r="HZ158" s="418" t="s">
        <v>1972</v>
      </c>
      <c r="IA158" s="14">
        <f>$IA$18</f>
        <v>3.5310000000000001</v>
      </c>
      <c r="IC158" s="97"/>
      <c r="IL158" s="26">
        <v>6</v>
      </c>
      <c r="IM158" s="14" t="s">
        <v>1749</v>
      </c>
      <c r="IN158" s="14" t="s">
        <v>674</v>
      </c>
      <c r="IO158" s="14">
        <v>0</v>
      </c>
      <c r="IP158" s="14" t="s">
        <v>676</v>
      </c>
      <c r="IQ158" s="14">
        <v>0</v>
      </c>
      <c r="IR158" s="14" t="s">
        <v>677</v>
      </c>
      <c r="IS158" s="14" t="str">
        <f>SUBSTITUTE(IS156,",",".")</f>
        <v>-1.25</v>
      </c>
      <c r="IT158" s="14" t="str">
        <f>IF(IS156=IS157,". I"," I")</f>
        <v xml:space="preserve"> I</v>
      </c>
      <c r="IU158" s="14" t="str">
        <f>SUBSTITUTE(IU156,",",".")</f>
        <v>-4.063</v>
      </c>
      <c r="IV158" s="14" t="str">
        <f>IF(IU156=IU157,". J"," J")</f>
        <v xml:space="preserve"> J</v>
      </c>
      <c r="IW158" s="14">
        <v>0</v>
      </c>
      <c r="IX158" s="16" t="s">
        <v>255</v>
      </c>
      <c r="IY158" s="16" t="s">
        <v>841</v>
      </c>
      <c r="IZ158" s="176">
        <f>$IZ$18</f>
        <v>80</v>
      </c>
    </row>
    <row r="159" spans="30:260" ht="15.95" customHeight="1">
      <c r="AD159" s="131">
        <v>158</v>
      </c>
      <c r="AE159" s="362">
        <v>1</v>
      </c>
      <c r="AF159" s="362">
        <v>1</v>
      </c>
      <c r="AG159" s="362">
        <v>4</v>
      </c>
      <c r="AH159" s="363" t="s">
        <v>1681</v>
      </c>
      <c r="AI159" s="363">
        <v>10</v>
      </c>
      <c r="AJ159" s="363">
        <v>9.9</v>
      </c>
      <c r="AK159" s="363">
        <v>4</v>
      </c>
      <c r="AL159" s="364">
        <v>19</v>
      </c>
      <c r="AM159" s="363">
        <v>26.7</v>
      </c>
      <c r="AN159" s="363">
        <v>80</v>
      </c>
      <c r="AO159" s="363">
        <v>12.9</v>
      </c>
      <c r="AP159" s="370">
        <f t="shared" si="48"/>
        <v>158</v>
      </c>
      <c r="AQ159" s="16" t="b">
        <f t="shared" si="49"/>
        <v>0</v>
      </c>
      <c r="AR159" s="16" t="b">
        <f t="shared" si="50"/>
        <v>0</v>
      </c>
      <c r="AS159" s="16">
        <f t="shared" si="51"/>
        <v>158</v>
      </c>
      <c r="AT159" s="16" t="b">
        <f t="shared" si="52"/>
        <v>0</v>
      </c>
      <c r="AU159" s="16" t="b">
        <f t="shared" si="53"/>
        <v>0</v>
      </c>
      <c r="EN159" s="26"/>
      <c r="EO159" s="14"/>
      <c r="EP159" s="14"/>
      <c r="EQ159" s="103">
        <f>-ROUND($BP$49/2,3)</f>
        <v>-4.0629999999999997</v>
      </c>
      <c r="ER159" s="103"/>
      <c r="ES159" s="101">
        <f>-$BP$55</f>
        <v>3.375</v>
      </c>
      <c r="ET159" s="103"/>
      <c r="EU159" s="103">
        <f>ROUND($BP$54,3)</f>
        <v>0.313</v>
      </c>
      <c r="EV159" s="103"/>
      <c r="EW159" s="103"/>
      <c r="EX159" s="14"/>
      <c r="EY159" s="14"/>
      <c r="FC159" s="26"/>
      <c r="FD159" s="14"/>
      <c r="FE159" s="14"/>
      <c r="FF159" s="103">
        <f>-ROUND($BJ$51/2,3)</f>
        <v>-3.84</v>
      </c>
      <c r="FG159" s="103"/>
      <c r="FH159" s="101">
        <f>-$BP$55</f>
        <v>3.375</v>
      </c>
      <c r="FI159" s="103"/>
      <c r="FJ159" s="103">
        <f>ROUND($BP$54,3)</f>
        <v>0.313</v>
      </c>
      <c r="FK159" s="103"/>
      <c r="FL159" s="103"/>
      <c r="FM159" s="14"/>
      <c r="FN159" s="14"/>
      <c r="FO159" s="16"/>
      <c r="FP159" s="16"/>
      <c r="FQ159" s="16"/>
      <c r="GH159" s="423"/>
      <c r="GI159" s="423"/>
      <c r="GJ159" s="423">
        <f>-(GL156+GR156)</f>
        <v>-4.0819999999999999</v>
      </c>
      <c r="GK159" s="423"/>
      <c r="GL159" s="423">
        <f>-GL156</f>
        <v>-4.0720000000000001</v>
      </c>
      <c r="GM159" s="423"/>
      <c r="GN159" s="423">
        <f>GN156</f>
        <v>0.313</v>
      </c>
      <c r="GO159" s="423"/>
      <c r="GP159" s="423">
        <f>-GR156</f>
        <v>-0.01</v>
      </c>
      <c r="GQ159" s="423"/>
      <c r="GR159" s="423">
        <f>GL159</f>
        <v>-4.0720000000000001</v>
      </c>
      <c r="GX159" s="14">
        <f>-(GZ156+HF156)</f>
        <v>-3.86</v>
      </c>
      <c r="GZ159" s="14">
        <f>-GZ156</f>
        <v>-3.85</v>
      </c>
      <c r="HB159" s="14">
        <f>HB156</f>
        <v>0.313</v>
      </c>
      <c r="HD159" s="14">
        <f>-HF156</f>
        <v>-0.01</v>
      </c>
      <c r="HF159" s="14">
        <f>GZ159</f>
        <v>-3.85</v>
      </c>
      <c r="HR159" s="26"/>
      <c r="HS159" s="14"/>
      <c r="HT159" s="14"/>
      <c r="HU159" s="103"/>
      <c r="HV159" s="103"/>
      <c r="HW159" s="101"/>
      <c r="HX159" s="103"/>
      <c r="HY159" s="101">
        <f>$HY$19</f>
        <v>1.25</v>
      </c>
      <c r="HZ159" s="14"/>
      <c r="IA159" s="188">
        <f>$IA$19</f>
        <v>-4.0629999999999997</v>
      </c>
      <c r="IL159" s="26"/>
      <c r="IM159" s="14"/>
      <c r="IN159" s="14"/>
      <c r="IO159" s="103">
        <f>$IO$19</f>
        <v>-4.0629999999999997</v>
      </c>
      <c r="IP159" s="103"/>
      <c r="IQ159" s="101">
        <f>$IQ$19</f>
        <v>-3.375</v>
      </c>
      <c r="IR159" s="103"/>
      <c r="IS159" s="103">
        <f>$IS$19</f>
        <v>-0.313</v>
      </c>
      <c r="IT159" s="103"/>
      <c r="IU159" s="103"/>
      <c r="IV159" s="14"/>
      <c r="IW159" s="14"/>
      <c r="IX159" s="16"/>
      <c r="IY159" s="16"/>
      <c r="IZ159" s="16"/>
    </row>
    <row r="160" spans="30:260" ht="15.95" customHeight="1">
      <c r="AD160" s="131">
        <v>159</v>
      </c>
      <c r="AE160" s="362">
        <v>1</v>
      </c>
      <c r="AF160" s="362">
        <v>1</v>
      </c>
      <c r="AG160" s="362">
        <v>4</v>
      </c>
      <c r="AH160" s="363" t="s">
        <v>1682</v>
      </c>
      <c r="AI160" s="363">
        <v>8</v>
      </c>
      <c r="AJ160" s="363">
        <v>7.9</v>
      </c>
      <c r="AK160" s="363">
        <v>4</v>
      </c>
      <c r="AL160" s="364">
        <v>28</v>
      </c>
      <c r="AM160" s="363">
        <v>20</v>
      </c>
      <c r="AN160" s="363">
        <v>70</v>
      </c>
      <c r="AO160" s="363">
        <v>9.5</v>
      </c>
      <c r="AP160" s="370">
        <f t="shared" si="48"/>
        <v>159</v>
      </c>
      <c r="AQ160" s="16" t="b">
        <f t="shared" si="49"/>
        <v>0</v>
      </c>
      <c r="AR160" s="16" t="b">
        <f t="shared" si="50"/>
        <v>0</v>
      </c>
      <c r="AS160" s="16">
        <f t="shared" si="51"/>
        <v>159</v>
      </c>
      <c r="AT160" s="16" t="b">
        <f t="shared" si="52"/>
        <v>0</v>
      </c>
      <c r="AU160" s="16" t="b">
        <f t="shared" si="53"/>
        <v>0</v>
      </c>
      <c r="EQ160" s="102">
        <f>INT(EQ159)</f>
        <v>-5</v>
      </c>
      <c r="ER160" s="104"/>
      <c r="ES160" s="102">
        <f>INT(ES159)</f>
        <v>3</v>
      </c>
      <c r="ET160" s="104"/>
      <c r="EU160" s="102">
        <f>INT(EU159)</f>
        <v>0</v>
      </c>
      <c r="EV160" s="104"/>
      <c r="EW160" s="102"/>
      <c r="FC160" s="24"/>
      <c r="FD160"/>
      <c r="FE160"/>
      <c r="FF160" s="102">
        <f>INT(FF159)</f>
        <v>-4</v>
      </c>
      <c r="FG160" s="104"/>
      <c r="FH160" s="102">
        <f>INT(FH159)</f>
        <v>3</v>
      </c>
      <c r="FI160" s="104"/>
      <c r="FJ160" s="102">
        <f>INT(FJ159)</f>
        <v>0</v>
      </c>
      <c r="FK160" s="104"/>
      <c r="FL160" s="102"/>
      <c r="FM160"/>
      <c r="FN160"/>
      <c r="FO160" s="16"/>
      <c r="FP160" s="16"/>
      <c r="FQ160" s="16"/>
      <c r="GH160" s="423"/>
      <c r="GI160" s="423"/>
      <c r="GJ160" s="424">
        <f>INT(GJ159)</f>
        <v>-5</v>
      </c>
      <c r="GK160" s="423"/>
      <c r="GL160" s="424">
        <f>INT(GL159)</f>
        <v>-5</v>
      </c>
      <c r="GM160" s="423"/>
      <c r="GN160" s="424">
        <f>INT(GN159)</f>
        <v>0</v>
      </c>
      <c r="GO160" s="423"/>
      <c r="GP160" s="424">
        <f>INT(GP159)</f>
        <v>-1</v>
      </c>
      <c r="GQ160" s="423"/>
      <c r="GR160" s="424">
        <f>INT(GR159)</f>
        <v>-5</v>
      </c>
      <c r="GX160" s="16">
        <f>INT(GX159)</f>
        <v>-4</v>
      </c>
      <c r="GZ160" s="16">
        <f>INT(GZ159)</f>
        <v>-4</v>
      </c>
      <c r="HB160" s="16">
        <f>INT(HB159)</f>
        <v>0</v>
      </c>
      <c r="HD160" s="16">
        <f>INT(HD159)</f>
        <v>-1</v>
      </c>
      <c r="HF160" s="16">
        <f>INT(HF159)</f>
        <v>-4</v>
      </c>
      <c r="HU160" s="102"/>
      <c r="HV160" s="104"/>
      <c r="HW160" s="102"/>
      <c r="HX160" s="104"/>
      <c r="HY160" s="102">
        <f>INT(HY159)</f>
        <v>1</v>
      </c>
      <c r="IA160" s="102">
        <f>INT(IA159)</f>
        <v>-5</v>
      </c>
      <c r="IL160" s="24"/>
      <c r="IM160"/>
      <c r="IN160"/>
      <c r="IO160" s="102">
        <f>INT(IO159)</f>
        <v>-5</v>
      </c>
      <c r="IP160" s="104"/>
      <c r="IQ160" s="102">
        <f>INT(IQ159)</f>
        <v>-4</v>
      </c>
      <c r="IR160" s="104"/>
      <c r="IS160" s="102">
        <f>INT(IS159)</f>
        <v>-1</v>
      </c>
      <c r="IT160" s="104"/>
      <c r="IU160" s="102"/>
      <c r="IV160"/>
      <c r="IW160"/>
      <c r="IX160" s="16"/>
      <c r="IY160" s="16"/>
      <c r="IZ160" s="16"/>
    </row>
    <row r="161" spans="30:260" ht="15.95" customHeight="1">
      <c r="AD161" s="131">
        <v>160</v>
      </c>
      <c r="AE161" s="362">
        <v>1</v>
      </c>
      <c r="AF161" s="362">
        <v>1</v>
      </c>
      <c r="AG161" s="362">
        <v>4</v>
      </c>
      <c r="AH161" s="363" t="s">
        <v>1683</v>
      </c>
      <c r="AI161" s="363">
        <v>6</v>
      </c>
      <c r="AJ161" s="363">
        <v>5.9</v>
      </c>
      <c r="AK161" s="363">
        <v>3</v>
      </c>
      <c r="AL161" s="364">
        <v>28</v>
      </c>
      <c r="AM161" s="363">
        <v>16.3</v>
      </c>
      <c r="AN161" s="363">
        <v>65</v>
      </c>
      <c r="AO161" s="363">
        <v>7.5</v>
      </c>
      <c r="AP161" s="370">
        <f t="shared" si="48"/>
        <v>160</v>
      </c>
      <c r="AQ161" s="16">
        <f t="shared" si="49"/>
        <v>160</v>
      </c>
      <c r="AR161" s="16" t="b">
        <f t="shared" si="50"/>
        <v>0</v>
      </c>
      <c r="AS161" s="16" t="b">
        <f t="shared" si="51"/>
        <v>0</v>
      </c>
      <c r="AT161" s="16" t="b">
        <f t="shared" si="52"/>
        <v>0</v>
      </c>
      <c r="AU161" s="16" t="b">
        <f t="shared" si="53"/>
        <v>0</v>
      </c>
      <c r="EN161" s="26">
        <v>7</v>
      </c>
      <c r="EO161" s="14" t="s">
        <v>675</v>
      </c>
      <c r="EP161" s="14" t="s">
        <v>674</v>
      </c>
      <c r="EQ161" s="14" t="str">
        <f>SUBSTITUTE(EQ159,",",".")</f>
        <v>-4.063</v>
      </c>
      <c r="ER161" s="14" t="str">
        <f>IF(EQ159=EQ160,". Y"," Y")</f>
        <v xml:space="preserve"> Y</v>
      </c>
      <c r="ES161" s="14" t="str">
        <f>SUBSTITUTE(ES159,",",".")</f>
        <v>3.375</v>
      </c>
      <c r="ET161" s="14" t="str">
        <f>IF(ES159=ES160,". Z"," Z")</f>
        <v xml:space="preserve"> Z</v>
      </c>
      <c r="EU161" s="14" t="str">
        <f>SUBSTITUTE(EU159,",",".")</f>
        <v>0.313</v>
      </c>
      <c r="EV161" s="418" t="s">
        <v>1972</v>
      </c>
      <c r="EW161" s="14">
        <f>$BP$52</f>
        <v>3.4329999999999998</v>
      </c>
      <c r="EX161" s="14"/>
      <c r="EY161" s="14"/>
      <c r="FC161" s="26">
        <v>7</v>
      </c>
      <c r="FD161" s="14" t="s">
        <v>675</v>
      </c>
      <c r="FE161" s="14" t="s">
        <v>674</v>
      </c>
      <c r="FF161" s="14" t="str">
        <f>SUBSTITUTE(FF159,",",".")</f>
        <v>-3.84</v>
      </c>
      <c r="FG161" s="14" t="str">
        <f>IF(FF159=FF160,". Y"," Y")</f>
        <v xml:space="preserve"> Y</v>
      </c>
      <c r="FH161" s="14" t="str">
        <f>SUBSTITUTE(FH159,",",".")</f>
        <v>3.375</v>
      </c>
      <c r="FI161" s="14" t="str">
        <f>IF(FH159=FH160,". Z"," Z")</f>
        <v xml:space="preserve"> Z</v>
      </c>
      <c r="FJ161" s="14" t="str">
        <f>SUBSTITUTE(FJ159,",",".")</f>
        <v>0.313</v>
      </c>
      <c r="FK161" s="418" t="s">
        <v>1972</v>
      </c>
      <c r="FL161" s="14">
        <f>$BK$51</f>
        <v>3.403</v>
      </c>
      <c r="FM161" s="14"/>
      <c r="FN161" s="14"/>
      <c r="FO161" s="16"/>
      <c r="FP161" s="16"/>
      <c r="FQ161" s="16"/>
      <c r="GG161" s="26">
        <v>7</v>
      </c>
      <c r="GH161" s="14" t="s">
        <v>675</v>
      </c>
      <c r="GI161" s="14" t="s">
        <v>674</v>
      </c>
      <c r="GJ161" s="14" t="str">
        <f>SUBSTITUTE(GJ159,",",".")</f>
        <v>-4.082</v>
      </c>
      <c r="GK161" s="14" t="str">
        <f>IF(GJ159=GJ160,". Y"," Y")</f>
        <v xml:space="preserve"> Y</v>
      </c>
      <c r="GL161" s="14" t="str">
        <f>SUBSTITUTE(GL159,",",".")</f>
        <v>-4.072</v>
      </c>
      <c r="GM161" s="14" t="str">
        <f>IF(GL159=GL160,". Z"," Z")</f>
        <v xml:space="preserve"> Z</v>
      </c>
      <c r="GN161" s="14" t="str">
        <f>SUBSTITUTE(GN159,",",".")</f>
        <v>0.313</v>
      </c>
      <c r="GO161" s="14" t="str">
        <f>IF(GN159=GN160,". I"," I")</f>
        <v xml:space="preserve"> I</v>
      </c>
      <c r="GP161" s="14" t="str">
        <f>SUBSTITUTE(GP159,",",".")</f>
        <v>-0.01</v>
      </c>
      <c r="GQ161" s="14" t="str">
        <f>IF(GP159=GP160,". J"," J")</f>
        <v xml:space="preserve"> J</v>
      </c>
      <c r="GR161" s="14" t="str">
        <f>SUBSTITUTE(GR159,",",".")</f>
        <v>-4.072</v>
      </c>
      <c r="GS161" s="14" t="str">
        <f>IF(GR159=GR160,".","")</f>
        <v/>
      </c>
      <c r="GU161" s="26">
        <v>7</v>
      </c>
      <c r="GV161" s="14" t="s">
        <v>675</v>
      </c>
      <c r="GW161" s="14" t="s">
        <v>674</v>
      </c>
      <c r="GX161" s="14" t="str">
        <f>SUBSTITUTE(GX159,",",".")</f>
        <v>-3.86</v>
      </c>
      <c r="GY161" s="14" t="str">
        <f>IF(GX159=GX160,". Y"," Y")</f>
        <v xml:space="preserve"> Y</v>
      </c>
      <c r="GZ161" s="14" t="str">
        <f>SUBSTITUTE(GZ159,",",".")</f>
        <v>-3.85</v>
      </c>
      <c r="HA161" s="14" t="str">
        <f>IF(GZ159=GZ160,". Z"," Z")</f>
        <v xml:space="preserve"> Z</v>
      </c>
      <c r="HB161" s="14" t="str">
        <f>SUBSTITUTE(HB159,",",".")</f>
        <v>0.313</v>
      </c>
      <c r="HC161" s="14" t="str">
        <f>IF(HB159=HB160,". I"," I")</f>
        <v xml:space="preserve"> I</v>
      </c>
      <c r="HD161" s="14" t="str">
        <f>SUBSTITUTE(HD159,",",".")</f>
        <v>-0.01</v>
      </c>
      <c r="HE161" s="14" t="str">
        <f>IF(HD159=HD160,". J"," J")</f>
        <v xml:space="preserve"> J</v>
      </c>
      <c r="HF161" s="14" t="str">
        <f>SUBSTITUTE(HF159,",",".")</f>
        <v>-3.85</v>
      </c>
      <c r="HG161" s="14" t="str">
        <f>IF(HF159=HF160,".","")</f>
        <v/>
      </c>
      <c r="HR161" s="26">
        <v>7</v>
      </c>
      <c r="HS161" s="14" t="s">
        <v>675</v>
      </c>
      <c r="HT161" s="14" t="s">
        <v>674</v>
      </c>
      <c r="HU161" s="14">
        <v>0</v>
      </c>
      <c r="HV161" s="14" t="s">
        <v>676</v>
      </c>
      <c r="HW161" s="14">
        <v>0</v>
      </c>
      <c r="HX161" s="186" t="s">
        <v>840</v>
      </c>
      <c r="HY161" s="14" t="str">
        <f>SUBSTITUTE(HY159,",",".")</f>
        <v>1.25</v>
      </c>
      <c r="HZ161" s="14" t="str">
        <f>IF(HY159=HY160,". I"," I")</f>
        <v xml:space="preserve"> I</v>
      </c>
      <c r="IA161" s="14" t="str">
        <f>SUBSTITUTE(IA159,",",".")</f>
        <v>-4.063</v>
      </c>
      <c r="IB161" s="14" t="str">
        <f>IF(IA159=IA160,". J"," J")</f>
        <v xml:space="preserve"> J</v>
      </c>
      <c r="IC161" s="14">
        <v>0</v>
      </c>
      <c r="ID161" s="16" t="s">
        <v>255</v>
      </c>
      <c r="IE161" s="16" t="s">
        <v>841</v>
      </c>
      <c r="IF161" s="176">
        <f>$IF$21</f>
        <v>80</v>
      </c>
      <c r="IL161" s="26">
        <v>7</v>
      </c>
      <c r="IM161" s="14" t="s">
        <v>1749</v>
      </c>
      <c r="IN161" s="14" t="s">
        <v>674</v>
      </c>
      <c r="IO161" s="14" t="str">
        <f>SUBSTITUTE(IO159,",",".")</f>
        <v>-4.063</v>
      </c>
      <c r="IP161" s="14" t="str">
        <f>IF(IO159=IO160,". Y"," Y")</f>
        <v xml:space="preserve"> Y</v>
      </c>
      <c r="IQ161" s="14" t="str">
        <f>SUBSTITUTE(IQ159,",",".")</f>
        <v>-3.375</v>
      </c>
      <c r="IR161" s="14" t="str">
        <f>IF(IQ159=IQ160,". Z"," Z")</f>
        <v xml:space="preserve"> Z</v>
      </c>
      <c r="IS161" s="14" t="str">
        <f>SUBSTITUTE(IS159,",",".")</f>
        <v>-0.313</v>
      </c>
      <c r="IT161" s="418" t="s">
        <v>1972</v>
      </c>
      <c r="IU161" s="10">
        <f>$IU$21</f>
        <v>3.4329999999999998</v>
      </c>
      <c r="IV161" s="14"/>
      <c r="IW161" s="14"/>
      <c r="IX161" s="16"/>
      <c r="IY161" s="16"/>
      <c r="IZ161" s="16"/>
    </row>
    <row r="162" spans="30:260" ht="15.95" customHeight="1">
      <c r="AD162" s="131">
        <v>161</v>
      </c>
      <c r="AE162" s="362">
        <v>1</v>
      </c>
      <c r="AF162" s="362">
        <v>1</v>
      </c>
      <c r="AG162" s="362">
        <v>4</v>
      </c>
      <c r="AH162" s="363" t="s">
        <v>1684</v>
      </c>
      <c r="AI162" s="363">
        <v>20</v>
      </c>
      <c r="AJ162" s="363">
        <v>19.899999999999999</v>
      </c>
      <c r="AK162" s="363">
        <v>5</v>
      </c>
      <c r="AL162" s="364">
        <v>11</v>
      </c>
      <c r="AM162" s="363">
        <v>34.6</v>
      </c>
      <c r="AN162" s="363">
        <v>100</v>
      </c>
      <c r="AO162" s="363">
        <v>32.799999999999997</v>
      </c>
      <c r="AP162" s="370">
        <f t="shared" si="48"/>
        <v>161</v>
      </c>
      <c r="AQ162" s="16" t="b">
        <f t="shared" si="49"/>
        <v>0</v>
      </c>
      <c r="AR162" s="16" t="b">
        <f t="shared" si="50"/>
        <v>0</v>
      </c>
      <c r="AS162" s="16">
        <f t="shared" si="51"/>
        <v>161</v>
      </c>
      <c r="AT162" s="16" t="b">
        <f t="shared" si="52"/>
        <v>0</v>
      </c>
      <c r="AU162" s="16" t="b">
        <f t="shared" si="53"/>
        <v>0</v>
      </c>
      <c r="EN162" s="26"/>
      <c r="EO162" s="14"/>
      <c r="EP162" s="14"/>
      <c r="EQ162" s="14"/>
      <c r="ER162" s="103">
        <v>0</v>
      </c>
      <c r="ES162" s="103"/>
      <c r="ET162" s="101">
        <f>$BP$55</f>
        <v>-3.375</v>
      </c>
      <c r="EU162" s="14"/>
      <c r="EV162" s="14"/>
      <c r="EW162" s="14"/>
      <c r="EX162" s="14"/>
      <c r="EY162" s="14"/>
      <c r="FC162" s="26"/>
      <c r="FD162" s="14"/>
      <c r="FE162" s="14"/>
      <c r="FF162" s="14"/>
      <c r="FG162" s="103">
        <v>0</v>
      </c>
      <c r="FH162" s="103"/>
      <c r="FI162" s="101">
        <f>$BP$55</f>
        <v>-3.375</v>
      </c>
      <c r="FJ162" s="14"/>
      <c r="FK162" s="14"/>
      <c r="FL162" s="14"/>
      <c r="FM162" s="14"/>
      <c r="FN162" s="14"/>
      <c r="FO162" s="16"/>
      <c r="FP162" s="16"/>
      <c r="FQ162" s="16"/>
      <c r="GJ162" s="423">
        <f>-GJ159</f>
        <v>4.0819999999999999</v>
      </c>
      <c r="GK162" s="423"/>
      <c r="GL162" s="423">
        <f>GJ159+GP159</f>
        <v>-4.0919999999999996</v>
      </c>
      <c r="GM162" s="423"/>
      <c r="GN162" s="423">
        <f>GN156</f>
        <v>0.313</v>
      </c>
      <c r="GO162" s="423"/>
      <c r="GP162" s="423">
        <f>GJ162</f>
        <v>4.0819999999999999</v>
      </c>
      <c r="GQ162" s="423"/>
      <c r="GR162" s="423">
        <f>-GR156</f>
        <v>-0.01</v>
      </c>
      <c r="GX162" s="14">
        <f>-GX159</f>
        <v>3.86</v>
      </c>
      <c r="GZ162" s="14">
        <f>GX159+HD159</f>
        <v>-3.8699999999999997</v>
      </c>
      <c r="HB162" s="14">
        <f>HB156</f>
        <v>0.313</v>
      </c>
      <c r="HD162" s="14">
        <f>GX162</f>
        <v>3.86</v>
      </c>
      <c r="HF162" s="14">
        <f>-HF156</f>
        <v>-0.01</v>
      </c>
      <c r="HR162" s="26"/>
      <c r="HS162" s="14"/>
      <c r="HT162" s="14"/>
      <c r="HU162" s="189">
        <f>$HU$22</f>
        <v>-7.0629999999999997</v>
      </c>
      <c r="HV162" s="103"/>
      <c r="HW162" s="103"/>
      <c r="HX162" s="101"/>
      <c r="HY162" s="14">
        <f>$HY$22</f>
        <v>0.625</v>
      </c>
      <c r="HZ162" s="14"/>
      <c r="IL162" s="26"/>
      <c r="IM162" s="14"/>
      <c r="IN162" s="14"/>
      <c r="IO162" s="14"/>
      <c r="IP162" s="103">
        <v>0</v>
      </c>
      <c r="IQ162" s="103"/>
      <c r="IR162" s="101">
        <f>$IR$22</f>
        <v>3.375</v>
      </c>
      <c r="IS162" s="14"/>
      <c r="IT162" s="14"/>
      <c r="IU162" s="14"/>
      <c r="IV162" s="14"/>
      <c r="IW162" s="14"/>
      <c r="IX162" s="16"/>
      <c r="IY162" s="16"/>
      <c r="IZ162" s="16"/>
    </row>
    <row r="163" spans="30:260" ht="15.95" customHeight="1">
      <c r="AD163" s="131">
        <v>162</v>
      </c>
      <c r="AE163" s="362">
        <v>1</v>
      </c>
      <c r="AF163" s="362">
        <v>1</v>
      </c>
      <c r="AG163" s="362">
        <v>4</v>
      </c>
      <c r="AH163" s="363" t="s">
        <v>1685</v>
      </c>
      <c r="AI163" s="363">
        <v>18</v>
      </c>
      <c r="AJ163" s="363">
        <v>17.899999999999999</v>
      </c>
      <c r="AK163" s="363">
        <v>5</v>
      </c>
      <c r="AL163" s="364">
        <v>14</v>
      </c>
      <c r="AM163" s="363">
        <v>34.5</v>
      </c>
      <c r="AN163" s="363">
        <v>100</v>
      </c>
      <c r="AO163" s="363">
        <v>26</v>
      </c>
      <c r="AP163" s="370">
        <f t="shared" si="48"/>
        <v>162</v>
      </c>
      <c r="AQ163" s="16" t="b">
        <f t="shared" si="49"/>
        <v>0</v>
      </c>
      <c r="AR163" s="16" t="b">
        <f t="shared" si="50"/>
        <v>0</v>
      </c>
      <c r="AS163" s="16">
        <f t="shared" si="51"/>
        <v>162</v>
      </c>
      <c r="AT163" s="16" t="b">
        <f t="shared" si="52"/>
        <v>0</v>
      </c>
      <c r="AU163" s="16" t="b">
        <f t="shared" si="53"/>
        <v>0</v>
      </c>
      <c r="ER163" s="102">
        <f>INT(ER162)</f>
        <v>0</v>
      </c>
      <c r="ES163" s="104"/>
      <c r="ET163" s="102">
        <f>INT(ET162)</f>
        <v>-4</v>
      </c>
      <c r="FC163" s="24"/>
      <c r="FD163"/>
      <c r="FE163"/>
      <c r="FF163"/>
      <c r="FG163" s="102">
        <f>INT(FG162)</f>
        <v>0</v>
      </c>
      <c r="FH163" s="104"/>
      <c r="FI163" s="102">
        <f>INT(FI162)</f>
        <v>-4</v>
      </c>
      <c r="FJ163"/>
      <c r="FK163"/>
      <c r="FL163"/>
      <c r="FM163"/>
      <c r="FN163"/>
      <c r="FO163" s="16"/>
      <c r="FP163" s="16"/>
      <c r="FQ163" s="16"/>
      <c r="GJ163" s="424">
        <f>INT(GJ162)</f>
        <v>4</v>
      </c>
      <c r="GK163" s="423"/>
      <c r="GL163" s="424">
        <f>INT(GL162)</f>
        <v>-5</v>
      </c>
      <c r="GM163" s="423"/>
      <c r="GN163" s="424">
        <f>INT(GN162)</f>
        <v>0</v>
      </c>
      <c r="GO163" s="423"/>
      <c r="GP163" s="424">
        <f>INT(GP162)</f>
        <v>4</v>
      </c>
      <c r="GQ163" s="423"/>
      <c r="GR163" s="424">
        <f>INT(GR162)</f>
        <v>-1</v>
      </c>
      <c r="GX163" s="16">
        <f>INT(GX162)</f>
        <v>3</v>
      </c>
      <c r="GZ163" s="16">
        <f>INT(GZ162)</f>
        <v>-4</v>
      </c>
      <c r="HB163" s="16">
        <f>INT(HB162)</f>
        <v>0</v>
      </c>
      <c r="HD163" s="16">
        <f>INT(HD162)</f>
        <v>3</v>
      </c>
      <c r="HF163" s="16">
        <f>INT(HF162)</f>
        <v>-1</v>
      </c>
      <c r="HU163" s="102">
        <f>INT(HU162)</f>
        <v>-8</v>
      </c>
      <c r="HV163" s="102"/>
      <c r="HW163" s="104"/>
      <c r="HX163" s="102"/>
      <c r="HY163" s="102">
        <f>INT(HY162)</f>
        <v>0</v>
      </c>
      <c r="IL163" s="24"/>
      <c r="IM163"/>
      <c r="IN163"/>
      <c r="IO163"/>
      <c r="IP163" s="102">
        <f>INT(IP162)</f>
        <v>0</v>
      </c>
      <c r="IQ163" s="104"/>
      <c r="IR163" s="102">
        <f>INT(IR162)</f>
        <v>3</v>
      </c>
      <c r="IS163"/>
      <c r="IT163"/>
      <c r="IU163"/>
      <c r="IV163"/>
      <c r="IW163"/>
      <c r="IX163" s="16"/>
      <c r="IY163" s="16"/>
      <c r="IZ163" s="16"/>
    </row>
    <row r="164" spans="30:260" ht="15.95" customHeight="1">
      <c r="AD164" s="131">
        <v>163</v>
      </c>
      <c r="AE164" s="362">
        <v>1</v>
      </c>
      <c r="AF164" s="362">
        <v>1</v>
      </c>
      <c r="AG164" s="362">
        <v>4</v>
      </c>
      <c r="AH164" s="363" t="s">
        <v>1686</v>
      </c>
      <c r="AI164" s="363">
        <v>16</v>
      </c>
      <c r="AJ164" s="363">
        <v>15.9</v>
      </c>
      <c r="AK164" s="363">
        <v>5</v>
      </c>
      <c r="AL164" s="364">
        <v>14</v>
      </c>
      <c r="AM164" s="363">
        <v>43.5</v>
      </c>
      <c r="AN164" s="363">
        <v>104</v>
      </c>
      <c r="AO164" s="363">
        <v>20.5</v>
      </c>
      <c r="AP164" s="370">
        <f t="shared" si="48"/>
        <v>163</v>
      </c>
      <c r="AQ164" s="16" t="b">
        <f t="shared" si="49"/>
        <v>0</v>
      </c>
      <c r="AR164" s="16" t="b">
        <f t="shared" si="50"/>
        <v>0</v>
      </c>
      <c r="AS164" s="16">
        <f t="shared" si="51"/>
        <v>163</v>
      </c>
      <c r="AT164" s="16" t="b">
        <f t="shared" si="52"/>
        <v>0</v>
      </c>
      <c r="AU164" s="16" t="b">
        <f t="shared" si="53"/>
        <v>0</v>
      </c>
      <c r="EN164" s="26">
        <v>8</v>
      </c>
      <c r="EO164" s="14" t="s">
        <v>854</v>
      </c>
      <c r="EP164" s="14" t="s">
        <v>671</v>
      </c>
      <c r="EQ164" s="14" t="s">
        <v>674</v>
      </c>
      <c r="ER164" s="14" t="str">
        <f>SUBSTITUTE(ER162,",",".")</f>
        <v>0</v>
      </c>
      <c r="ES164" s="14" t="str">
        <f>IF(ER162=ER163,". Y"," Y")</f>
        <v>. Y</v>
      </c>
      <c r="ET164" s="14" t="str">
        <f>SUBSTITUTE(ET162,",",".")</f>
        <v>-3.375</v>
      </c>
      <c r="EU164" s="14" t="str">
        <f>IF(ET162=ET163,".","")</f>
        <v/>
      </c>
      <c r="EV164" s="14"/>
      <c r="EW164" s="14"/>
      <c r="EX164" s="14"/>
      <c r="EY164" s="14"/>
      <c r="FC164" s="26">
        <v>8</v>
      </c>
      <c r="FD164" s="14" t="s">
        <v>854</v>
      </c>
      <c r="FE164" s="14" t="s">
        <v>671</v>
      </c>
      <c r="FF164" s="14" t="s">
        <v>674</v>
      </c>
      <c r="FG164" s="14" t="str">
        <f>SUBSTITUTE(FG162,",",".")</f>
        <v>0</v>
      </c>
      <c r="FH164" s="14" t="str">
        <f>IF(FG162=FG163,". Y"," Y")</f>
        <v>. Y</v>
      </c>
      <c r="FI164" s="14" t="str">
        <f>SUBSTITUTE(FI162,",",".")</f>
        <v>-3.375</v>
      </c>
      <c r="FJ164" s="14" t="str">
        <f>IF(FI162=FI163,".","")</f>
        <v/>
      </c>
      <c r="FK164" s="14"/>
      <c r="FL164" s="14"/>
      <c r="FM164" s="14"/>
      <c r="FN164" s="14"/>
      <c r="FO164" s="16"/>
      <c r="FP164" s="16"/>
      <c r="FQ164" s="16"/>
      <c r="GG164" s="26">
        <v>8</v>
      </c>
      <c r="GH164" s="14" t="s">
        <v>675</v>
      </c>
      <c r="GI164" s="14" t="s">
        <v>674</v>
      </c>
      <c r="GJ164" s="14" t="str">
        <f>SUBSTITUTE(GJ162,",",".")</f>
        <v>4.082</v>
      </c>
      <c r="GK164" s="14" t="str">
        <f>IF(GJ162=GJ163,". Y"," Y")</f>
        <v xml:space="preserve"> Y</v>
      </c>
      <c r="GL164" s="14" t="str">
        <f>SUBSTITUTE(GL162,",",".")</f>
        <v>-4.092</v>
      </c>
      <c r="GM164" s="14" t="str">
        <f>IF(GL162=GL163,". Z"," Z")</f>
        <v xml:space="preserve"> Z</v>
      </c>
      <c r="GN164" s="14" t="str">
        <f>SUBSTITUTE(GN162,",",".")</f>
        <v>0.313</v>
      </c>
      <c r="GO164" s="14" t="str">
        <f>IF(GN162=GN163,". I"," I")</f>
        <v xml:space="preserve"> I</v>
      </c>
      <c r="GP164" s="14" t="str">
        <f>SUBSTITUTE(GP162,",",".")</f>
        <v>4.082</v>
      </c>
      <c r="GQ164" s="14" t="str">
        <f>IF(GP162=GP163,". J"," J")</f>
        <v xml:space="preserve"> J</v>
      </c>
      <c r="GR164" s="14" t="str">
        <f>SUBSTITUTE(GR162,",",".")</f>
        <v>-0.01</v>
      </c>
      <c r="GS164" s="14" t="str">
        <f>IF(GR162=GR163,".","")</f>
        <v/>
      </c>
      <c r="GU164" s="26">
        <v>8</v>
      </c>
      <c r="GV164" s="14" t="s">
        <v>675</v>
      </c>
      <c r="GW164" s="14" t="s">
        <v>674</v>
      </c>
      <c r="GX164" s="14" t="str">
        <f>SUBSTITUTE(GX162,",",".")</f>
        <v>3.86</v>
      </c>
      <c r="GY164" s="14" t="str">
        <f>IF(GX162=GX163,". Y"," Y")</f>
        <v xml:space="preserve"> Y</v>
      </c>
      <c r="GZ164" s="14" t="str">
        <f>SUBSTITUTE(GZ162,",",".")</f>
        <v>-3.87</v>
      </c>
      <c r="HA164" s="14" t="str">
        <f>IF(GZ162=GZ163,". Z"," Z")</f>
        <v xml:space="preserve"> Z</v>
      </c>
      <c r="HB164" s="14" t="str">
        <f>SUBSTITUTE(HB162,",",".")</f>
        <v>0.313</v>
      </c>
      <c r="HC164" s="14" t="str">
        <f>IF(HB162=HB163,". I"," I")</f>
        <v xml:space="preserve"> I</v>
      </c>
      <c r="HD164" s="14" t="str">
        <f>SUBSTITUTE(HD162,",",".")</f>
        <v>3.86</v>
      </c>
      <c r="HE164" s="14" t="str">
        <f>IF(HD162=HD163,". J"," J")</f>
        <v xml:space="preserve"> J</v>
      </c>
      <c r="HF164" s="14" t="str">
        <f>SUBSTITUTE(HF162,",",".")</f>
        <v>-0.01</v>
      </c>
      <c r="HG164" s="14" t="str">
        <f>IF(HF162=HF163,".","")</f>
        <v/>
      </c>
      <c r="HR164" s="26">
        <v>8</v>
      </c>
      <c r="HS164" s="14" t="s">
        <v>675</v>
      </c>
      <c r="HT164" s="14" t="s">
        <v>674</v>
      </c>
      <c r="HU164" s="14" t="str">
        <f>SUBSTITUTE(HU162,",",".")</f>
        <v>-7.063</v>
      </c>
      <c r="HV164" s="14" t="str">
        <f>IF(HU162=HU163,". Y"," Y")</f>
        <v xml:space="preserve"> Y</v>
      </c>
      <c r="HW164" s="14">
        <v>0</v>
      </c>
      <c r="HX164" s="14" t="str">
        <f>IF(HW162=HW163,". Z"," Z")</f>
        <v>. Z</v>
      </c>
      <c r="HY164" s="14" t="str">
        <f>SUBSTITUTE(HY162,",",".")</f>
        <v>0.625</v>
      </c>
      <c r="HZ164" s="418" t="s">
        <v>1972</v>
      </c>
      <c r="IA164" s="14">
        <f>$IA$24</f>
        <v>3.5310000000000001</v>
      </c>
      <c r="IL164" s="26">
        <v>8</v>
      </c>
      <c r="IM164" s="14" t="s">
        <v>854</v>
      </c>
      <c r="IN164" s="14" t="s">
        <v>671</v>
      </c>
      <c r="IO164" s="14" t="s">
        <v>674</v>
      </c>
      <c r="IP164" s="14" t="str">
        <f>SUBSTITUTE(IP162,",",".")</f>
        <v>0</v>
      </c>
      <c r="IQ164" s="14" t="str">
        <f>IF(IP162=IP163,". Y"," Y")</f>
        <v>. Y</v>
      </c>
      <c r="IR164" s="14" t="str">
        <f>SUBSTITUTE(IR162,",",".")</f>
        <v>3.375</v>
      </c>
      <c r="IS164" s="14" t="str">
        <f>IF(IR162=IR163,".","")</f>
        <v/>
      </c>
      <c r="IT164" s="14"/>
      <c r="IU164" s="14"/>
      <c r="IV164" s="14"/>
      <c r="IW164" s="14"/>
      <c r="IX164" s="16"/>
      <c r="IY164" s="16"/>
      <c r="IZ164" s="16"/>
    </row>
    <row r="165" spans="30:260" ht="15.95" customHeight="1">
      <c r="AD165" s="131">
        <v>164</v>
      </c>
      <c r="AE165" s="362">
        <v>1</v>
      </c>
      <c r="AF165" s="362">
        <v>1</v>
      </c>
      <c r="AG165" s="362">
        <v>4</v>
      </c>
      <c r="AH165" s="363" t="s">
        <v>1687</v>
      </c>
      <c r="AI165" s="363">
        <v>14</v>
      </c>
      <c r="AJ165" s="363">
        <v>13.9</v>
      </c>
      <c r="AK165" s="363">
        <v>4</v>
      </c>
      <c r="AL165" s="364">
        <v>19</v>
      </c>
      <c r="AM165" s="363">
        <v>33.4</v>
      </c>
      <c r="AN165" s="363">
        <v>92</v>
      </c>
      <c r="AO165" s="363">
        <v>16.399999999999999</v>
      </c>
      <c r="AP165" s="370">
        <f t="shared" si="48"/>
        <v>164</v>
      </c>
      <c r="AQ165" s="16" t="b">
        <f t="shared" si="49"/>
        <v>0</v>
      </c>
      <c r="AR165" s="16" t="b">
        <f t="shared" si="50"/>
        <v>0</v>
      </c>
      <c r="AS165" s="16">
        <f t="shared" si="51"/>
        <v>164</v>
      </c>
      <c r="AT165" s="16" t="b">
        <f t="shared" si="52"/>
        <v>0</v>
      </c>
      <c r="AU165" s="16" t="b">
        <f t="shared" si="53"/>
        <v>0</v>
      </c>
      <c r="EN165" s="26"/>
      <c r="EO165" s="14"/>
      <c r="EP165" s="14"/>
      <c r="EQ165" s="101">
        <f>-ER147-EU153-EU156-EU159</f>
        <v>18.937000000000001</v>
      </c>
      <c r="ER165" s="14"/>
      <c r="ES165" s="14"/>
      <c r="ET165" s="14"/>
      <c r="EU165" s="14"/>
      <c r="EV165" s="14"/>
      <c r="EW165" s="14"/>
      <c r="EX165" s="14"/>
      <c r="EY165" s="14"/>
      <c r="FC165" s="26"/>
      <c r="FD165" s="14"/>
      <c r="FE165" s="14"/>
      <c r="FF165" s="10">
        <f>-FJ153-FJ156-FJ159</f>
        <v>-1.8759999999999999</v>
      </c>
      <c r="FG165" s="14"/>
      <c r="FH165" s="14"/>
      <c r="FI165" s="14"/>
      <c r="FJ165" s="14"/>
      <c r="FK165" s="14"/>
      <c r="FL165" s="14"/>
      <c r="FM165" s="14"/>
      <c r="FN165" s="14"/>
      <c r="FO165" s="16"/>
      <c r="FP165" s="16"/>
      <c r="FQ165" s="16"/>
      <c r="GI165" s="423"/>
      <c r="GJ165" s="423">
        <f>-(GL162+GR162)</f>
        <v>4.1019999999999994</v>
      </c>
      <c r="GK165" s="423"/>
      <c r="GL165" s="423">
        <f>-GL162</f>
        <v>4.0919999999999996</v>
      </c>
      <c r="GM165" s="423"/>
      <c r="GN165" s="423">
        <f>GN156</f>
        <v>0.313</v>
      </c>
      <c r="GO165" s="423"/>
      <c r="GP165" s="423">
        <f>GR156</f>
        <v>0.01</v>
      </c>
      <c r="GQ165" s="423"/>
      <c r="GR165" s="423">
        <f>GL165</f>
        <v>4.0919999999999996</v>
      </c>
      <c r="GS165" s="423"/>
      <c r="GX165" s="14">
        <f>-(GZ162+HF162)</f>
        <v>3.8799999999999994</v>
      </c>
      <c r="GZ165" s="14">
        <f>-GZ162</f>
        <v>3.8699999999999997</v>
      </c>
      <c r="HB165" s="14">
        <f>HB156</f>
        <v>0.313</v>
      </c>
      <c r="HD165" s="14">
        <f>HF156</f>
        <v>0.01</v>
      </c>
      <c r="HF165" s="14">
        <f>GZ165</f>
        <v>3.8699999999999997</v>
      </c>
      <c r="HR165" s="26"/>
      <c r="HS165" s="14"/>
      <c r="HT165" s="14"/>
      <c r="HU165" s="14"/>
      <c r="HV165" s="101">
        <f>$HV$25</f>
        <v>3</v>
      </c>
      <c r="HW165" s="103"/>
      <c r="HX165" s="101"/>
      <c r="HY165" s="14"/>
      <c r="HZ165" s="14"/>
      <c r="IA165" s="14"/>
      <c r="ID165" s="16"/>
      <c r="IE165" s="16"/>
      <c r="IF165" s="16"/>
      <c r="IG165" s="26"/>
      <c r="IH165" s="14"/>
      <c r="II165" s="14"/>
      <c r="IJ165" s="10">
        <f>$IJ$25</f>
        <v>-16.875</v>
      </c>
      <c r="IK165" s="14"/>
      <c r="IL165" s="26"/>
      <c r="IM165" s="14"/>
      <c r="IN165" s="14"/>
      <c r="IO165" s="10"/>
      <c r="IP165" s="14"/>
      <c r="IQ165" s="14"/>
      <c r="IR165" s="14">
        <v>200</v>
      </c>
      <c r="IS165" s="14"/>
      <c r="IT165" s="14"/>
      <c r="IU165" s="14"/>
      <c r="IV165" s="14"/>
      <c r="IW165" s="14"/>
      <c r="IX165" s="16"/>
      <c r="IY165" s="16"/>
      <c r="IZ165" s="16"/>
    </row>
    <row r="166" spans="30:260" ht="15.95" customHeight="1">
      <c r="AD166" s="131">
        <v>165</v>
      </c>
      <c r="AE166" s="362">
        <v>1</v>
      </c>
      <c r="AF166" s="362">
        <v>1</v>
      </c>
      <c r="AG166" s="362">
        <v>4</v>
      </c>
      <c r="AH166" s="363" t="s">
        <v>1688</v>
      </c>
      <c r="AI166" s="363">
        <v>10</v>
      </c>
      <c r="AJ166" s="363">
        <v>9.9</v>
      </c>
      <c r="AK166" s="363">
        <v>4</v>
      </c>
      <c r="AL166" s="364">
        <v>19</v>
      </c>
      <c r="AM166" s="363">
        <v>26.7</v>
      </c>
      <c r="AN166" s="363">
        <v>80</v>
      </c>
      <c r="AO166" s="363">
        <v>12.9</v>
      </c>
      <c r="AP166" s="370">
        <f t="shared" si="48"/>
        <v>165</v>
      </c>
      <c r="AQ166" s="16" t="b">
        <f t="shared" si="49"/>
        <v>0</v>
      </c>
      <c r="AR166" s="16" t="b">
        <f t="shared" si="50"/>
        <v>0</v>
      </c>
      <c r="AS166" s="16">
        <f t="shared" si="51"/>
        <v>165</v>
      </c>
      <c r="AT166" s="16" t="b">
        <f t="shared" si="52"/>
        <v>0</v>
      </c>
      <c r="AU166" s="16" t="b">
        <f t="shared" si="53"/>
        <v>0</v>
      </c>
      <c r="EQ166" s="102">
        <f>INT(EQ165)</f>
        <v>18</v>
      </c>
      <c r="FC166" s="24"/>
      <c r="FD166"/>
      <c r="FE166"/>
      <c r="FF166" s="16">
        <f>INT(FF165)</f>
        <v>-2</v>
      </c>
      <c r="FG166"/>
      <c r="FH166"/>
      <c r="FI166"/>
      <c r="FJ166"/>
      <c r="FK166"/>
      <c r="FL166"/>
      <c r="FM166"/>
      <c r="FN166"/>
      <c r="FO166" s="16"/>
      <c r="FP166" s="16"/>
      <c r="FQ166" s="16"/>
      <c r="GI166" s="423"/>
      <c r="GJ166" s="424">
        <f>INT(GJ165)</f>
        <v>4</v>
      </c>
      <c r="GK166" s="423"/>
      <c r="GL166" s="424">
        <f>INT(GL165)</f>
        <v>4</v>
      </c>
      <c r="GM166" s="423"/>
      <c r="GN166" s="424">
        <f>INT(GN165)</f>
        <v>0</v>
      </c>
      <c r="GO166" s="423"/>
      <c r="GP166" s="424">
        <f>INT(GP165)</f>
        <v>0</v>
      </c>
      <c r="GQ166" s="423"/>
      <c r="GR166" s="424">
        <f>INT(GR165)</f>
        <v>4</v>
      </c>
      <c r="GS166" s="423"/>
      <c r="GX166" s="16">
        <f>INT(GX165)</f>
        <v>3</v>
      </c>
      <c r="GZ166" s="16">
        <f>INT(GZ165)</f>
        <v>3</v>
      </c>
      <c r="HB166" s="16">
        <f>INT(HB165)</f>
        <v>0</v>
      </c>
      <c r="HD166" s="16">
        <f>INT(HD165)</f>
        <v>0</v>
      </c>
      <c r="HF166" s="16">
        <f>INT(HF165)</f>
        <v>3</v>
      </c>
      <c r="HV166" s="190">
        <f>INT(HV165)</f>
        <v>3</v>
      </c>
      <c r="HW166" s="104"/>
      <c r="HX166" s="102"/>
      <c r="IA166"/>
      <c r="IB166"/>
      <c r="IC166"/>
      <c r="ID166" s="16"/>
      <c r="IE166" s="16"/>
      <c r="IF166" s="16"/>
      <c r="IG166" s="24"/>
      <c r="IH166"/>
      <c r="II166"/>
      <c r="IJ166" s="16">
        <f>INT(IJ165)</f>
        <v>-17</v>
      </c>
      <c r="IK166"/>
      <c r="IL166" s="24"/>
      <c r="IM166"/>
      <c r="IN166"/>
      <c r="IP166"/>
      <c r="IQ166"/>
      <c r="IR166" s="14">
        <f>INT(IR165)</f>
        <v>200</v>
      </c>
      <c r="IS166"/>
      <c r="IT166"/>
      <c r="IU166"/>
      <c r="IV166"/>
      <c r="IW166"/>
      <c r="IX166" s="16"/>
      <c r="IY166" s="16"/>
      <c r="IZ166" s="16"/>
    </row>
    <row r="167" spans="30:260" ht="15.95" customHeight="1">
      <c r="AD167" s="131">
        <v>166</v>
      </c>
      <c r="AE167" s="362">
        <v>1</v>
      </c>
      <c r="AF167" s="362">
        <v>1</v>
      </c>
      <c r="AG167" s="362">
        <v>4</v>
      </c>
      <c r="AH167" s="363" t="s">
        <v>1689</v>
      </c>
      <c r="AI167" s="363">
        <v>8</v>
      </c>
      <c r="AJ167" s="363">
        <v>7.9</v>
      </c>
      <c r="AK167" s="363">
        <v>4</v>
      </c>
      <c r="AL167" s="364">
        <v>28</v>
      </c>
      <c r="AM167" s="363">
        <v>20</v>
      </c>
      <c r="AN167" s="363">
        <v>70</v>
      </c>
      <c r="AO167" s="363">
        <v>9.5</v>
      </c>
      <c r="AP167" s="370">
        <f t="shared" si="48"/>
        <v>166</v>
      </c>
      <c r="AQ167" s="16" t="b">
        <f t="shared" si="49"/>
        <v>0</v>
      </c>
      <c r="AR167" s="16" t="b">
        <f t="shared" si="50"/>
        <v>0</v>
      </c>
      <c r="AS167" s="16">
        <f t="shared" si="51"/>
        <v>166</v>
      </c>
      <c r="AT167" s="16" t="b">
        <f t="shared" si="52"/>
        <v>0</v>
      </c>
      <c r="AU167" s="16" t="b">
        <f t="shared" si="53"/>
        <v>0</v>
      </c>
      <c r="EN167" s="26">
        <v>9</v>
      </c>
      <c r="EO167" s="14" t="s">
        <v>672</v>
      </c>
      <c r="EP167" s="14" t="s">
        <v>673</v>
      </c>
      <c r="EQ167" s="14" t="str">
        <f>SUBSTITUTE(EQ165,",",".")</f>
        <v>18.937</v>
      </c>
      <c r="ER167" s="14" t="str">
        <f>IF(EQ165=EQ166,".","")</f>
        <v/>
      </c>
      <c r="ES167" s="14"/>
      <c r="ET167" s="14"/>
      <c r="EU167" s="14"/>
      <c r="EV167" s="14"/>
      <c r="EW167" s="14"/>
      <c r="EX167" s="14"/>
      <c r="EY167" s="14"/>
      <c r="FC167" s="26">
        <v>9</v>
      </c>
      <c r="FD167" s="14" t="s">
        <v>672</v>
      </c>
      <c r="FE167" s="14" t="s">
        <v>673</v>
      </c>
      <c r="FF167" s="14" t="str">
        <f>SUBSTITUTE(FF165,",",".")</f>
        <v>-1.876</v>
      </c>
      <c r="FG167" s="14" t="str">
        <f>IF(FF165=FF166,".","")</f>
        <v/>
      </c>
      <c r="FH167" s="14"/>
      <c r="FI167" s="14"/>
      <c r="FJ167" s="14"/>
      <c r="FK167" s="14"/>
      <c r="FL167" s="14"/>
      <c r="FM167" s="14"/>
      <c r="FN167" s="14"/>
      <c r="FO167" s="16"/>
      <c r="FP167" s="16"/>
      <c r="FQ167" s="16"/>
      <c r="GG167" s="26">
        <v>9</v>
      </c>
      <c r="GH167" s="14" t="s">
        <v>675</v>
      </c>
      <c r="GI167" s="14" t="s">
        <v>674</v>
      </c>
      <c r="GJ167" s="14" t="str">
        <f>SUBSTITUTE(GJ165,",",".")</f>
        <v>4.102</v>
      </c>
      <c r="GK167" s="14" t="str">
        <f>IF(GJ165=GJ166,". Y"," Y")</f>
        <v xml:space="preserve"> Y</v>
      </c>
      <c r="GL167" s="14" t="str">
        <f>SUBSTITUTE(GL165,",",".")</f>
        <v>4.092</v>
      </c>
      <c r="GM167" s="14" t="str">
        <f>IF(GL165=GL166,". Z"," Z")</f>
        <v xml:space="preserve"> Z</v>
      </c>
      <c r="GN167" s="14" t="str">
        <f>SUBSTITUTE(GN165,",",".")</f>
        <v>0.313</v>
      </c>
      <c r="GO167" s="14" t="str">
        <f>IF(GN165=GN166,". I"," I")</f>
        <v xml:space="preserve"> I</v>
      </c>
      <c r="GP167" s="14" t="str">
        <f>SUBSTITUTE(GP165,",",".")</f>
        <v>0.01</v>
      </c>
      <c r="GQ167" s="14" t="str">
        <f>IF(GP165=GP166,". J"," J")</f>
        <v xml:space="preserve"> J</v>
      </c>
      <c r="GR167" s="14" t="str">
        <f>SUBSTITUTE(GR165,",",".")</f>
        <v>4.092</v>
      </c>
      <c r="GS167" s="14" t="str">
        <f>IF(GR165=GR166,".","")</f>
        <v/>
      </c>
      <c r="GU167" s="26">
        <v>9</v>
      </c>
      <c r="GV167" s="14" t="s">
        <v>675</v>
      </c>
      <c r="GW167" s="14" t="s">
        <v>674</v>
      </c>
      <c r="GX167" s="14" t="str">
        <f>SUBSTITUTE(GX165,",",".")</f>
        <v>3.88</v>
      </c>
      <c r="GY167" s="14" t="str">
        <f>IF(GX165=GX166,". Y"," Y")</f>
        <v xml:space="preserve"> Y</v>
      </c>
      <c r="GZ167" s="14" t="str">
        <f>SUBSTITUTE(GZ165,",",".")</f>
        <v>3.87</v>
      </c>
      <c r="HA167" s="14" t="str">
        <f>IF(GZ165=GZ166,". Z"," Z")</f>
        <v xml:space="preserve"> Z</v>
      </c>
      <c r="HB167" s="14" t="str">
        <f>SUBSTITUTE(HB165,",",".")</f>
        <v>0.313</v>
      </c>
      <c r="HC167" s="14" t="str">
        <f>IF(HB165=HB166,". I"," I")</f>
        <v xml:space="preserve"> I</v>
      </c>
      <c r="HD167" s="14" t="str">
        <f>SUBSTITUTE(HD165,",",".")</f>
        <v>0.01</v>
      </c>
      <c r="HE167" s="14" t="str">
        <f>IF(HD165=HD166,". J"," J")</f>
        <v xml:space="preserve"> J</v>
      </c>
      <c r="HF167" s="14" t="str">
        <f>SUBSTITUTE(HF165,",",".")</f>
        <v>3.87</v>
      </c>
      <c r="HG167" s="14" t="str">
        <f>IF(HF165=HF166,".","")</f>
        <v/>
      </c>
      <c r="HR167" s="26">
        <v>9</v>
      </c>
      <c r="HS167" s="14" t="s">
        <v>854</v>
      </c>
      <c r="HT167" s="14" t="s">
        <v>671</v>
      </c>
      <c r="HU167" s="14" t="s">
        <v>1987</v>
      </c>
      <c r="HV167" s="14" t="str">
        <f>SUBSTITUTE(HV165,",",".")</f>
        <v>3</v>
      </c>
      <c r="HW167" s="14" t="str">
        <f>IF(HV165=HV166,". Y"," Y")</f>
        <v>. Y</v>
      </c>
      <c r="HX167" s="14">
        <v>0</v>
      </c>
      <c r="HY167" s="14" t="str">
        <f>IF(HX165=HX166,".","")</f>
        <v>.</v>
      </c>
      <c r="HZ167" s="14"/>
      <c r="IA167" s="14"/>
      <c r="ID167" s="16"/>
      <c r="IE167" s="16"/>
      <c r="IF167" s="16"/>
      <c r="IG167" s="26">
        <v>9</v>
      </c>
      <c r="IH167" s="14" t="s">
        <v>672</v>
      </c>
      <c r="II167" s="14" t="s">
        <v>673</v>
      </c>
      <c r="IJ167" s="14" t="str">
        <f>SUBSTITUTE(IJ165,",",".")</f>
        <v>-16.875</v>
      </c>
      <c r="IK167" s="14" t="str">
        <f>IF(IJ165=IJ166,".","")</f>
        <v/>
      </c>
      <c r="IL167" s="26">
        <v>9</v>
      </c>
      <c r="IM167" s="14" t="s">
        <v>446</v>
      </c>
      <c r="IN167" s="14" t="s">
        <v>872</v>
      </c>
      <c r="IO167" s="14"/>
      <c r="IP167" s="14" t="s">
        <v>1752</v>
      </c>
      <c r="IQ167" s="14" t="s">
        <v>1968</v>
      </c>
      <c r="IR167" s="14" t="str">
        <f>SUBSTITUTE(IR165,",",".")</f>
        <v>200</v>
      </c>
      <c r="IS167" s="418" t="str">
        <f>IF(IR165=IR166,". D0"," D0")</f>
        <v>. D0</v>
      </c>
      <c r="IT167" s="14"/>
      <c r="IU167" s="14"/>
      <c r="IV167" s="14"/>
      <c r="IW167" s="14"/>
      <c r="IX167" s="16"/>
      <c r="IY167" s="16"/>
      <c r="IZ167" s="16"/>
    </row>
    <row r="168" spans="30:260" ht="15.95" customHeight="1">
      <c r="AD168" s="131">
        <v>167</v>
      </c>
      <c r="AE168" s="362">
        <v>1</v>
      </c>
      <c r="AF168" s="362">
        <v>1</v>
      </c>
      <c r="AG168" s="362">
        <v>4</v>
      </c>
      <c r="AH168" s="363" t="s">
        <v>1690</v>
      </c>
      <c r="AI168" s="363">
        <v>6</v>
      </c>
      <c r="AJ168" s="363">
        <v>5.9</v>
      </c>
      <c r="AK168" s="363">
        <v>3</v>
      </c>
      <c r="AL168" s="364">
        <v>28</v>
      </c>
      <c r="AM168" s="363">
        <v>16.3</v>
      </c>
      <c r="AN168" s="363">
        <v>65</v>
      </c>
      <c r="AO168" s="363">
        <v>7.5</v>
      </c>
      <c r="AP168" s="370">
        <f t="shared" si="48"/>
        <v>167</v>
      </c>
      <c r="AQ168" s="16">
        <f t="shared" si="49"/>
        <v>167</v>
      </c>
      <c r="AR168" s="16" t="b">
        <f t="shared" si="50"/>
        <v>0</v>
      </c>
      <c r="AS168" s="16" t="b">
        <f t="shared" si="51"/>
        <v>0</v>
      </c>
      <c r="AT168" s="16" t="b">
        <f t="shared" si="52"/>
        <v>0</v>
      </c>
      <c r="AU168" s="16" t="b">
        <f t="shared" si="53"/>
        <v>0</v>
      </c>
      <c r="EN168" s="26"/>
      <c r="EO168" s="14"/>
      <c r="EP168" s="14"/>
      <c r="EQ168" s="14"/>
      <c r="ER168" s="14"/>
      <c r="ES168" s="14"/>
      <c r="ET168" s="14">
        <v>200</v>
      </c>
      <c r="EU168" s="14"/>
      <c r="EV168" s="14"/>
      <c r="EW168" s="14"/>
      <c r="EX168" s="14"/>
      <c r="EY168" s="14"/>
      <c r="GI168" s="423"/>
      <c r="GJ168" s="423">
        <f>-GJ165</f>
        <v>-4.1019999999999994</v>
      </c>
      <c r="GK168" s="423"/>
      <c r="GL168" s="425">
        <f>ES159</f>
        <v>3.375</v>
      </c>
      <c r="GM168" s="423"/>
      <c r="GN168" s="423">
        <f>GN156</f>
        <v>0.313</v>
      </c>
      <c r="GO168" s="423"/>
      <c r="GP168" s="423"/>
      <c r="GQ168" s="423"/>
      <c r="GR168" s="423"/>
      <c r="GS168" s="423"/>
      <c r="GX168" s="103">
        <f>-GX165</f>
        <v>-3.8799999999999994</v>
      </c>
      <c r="GY168" s="103"/>
      <c r="GZ168" s="101">
        <f>FH159</f>
        <v>3.375</v>
      </c>
      <c r="HA168" s="103"/>
      <c r="HB168" s="103">
        <f>HB156</f>
        <v>0.313</v>
      </c>
      <c r="HC168" s="103"/>
      <c r="HD168" s="103"/>
      <c r="HR168" s="26"/>
      <c r="HS168" s="14"/>
      <c r="HT168" s="14"/>
      <c r="HU168" s="101">
        <f>-HV147-HV150-HY156-HY159-HY162</f>
        <v>19.960999999999999</v>
      </c>
      <c r="HV168" s="14"/>
      <c r="HW168" s="14"/>
      <c r="HX168" s="14"/>
      <c r="HY168" s="14"/>
      <c r="HZ168" s="14"/>
      <c r="IA168" s="14"/>
      <c r="IL168" s="26"/>
      <c r="IM168" s="14"/>
      <c r="IN168" s="14"/>
      <c r="IO168" s="14"/>
      <c r="IP168" s="14"/>
      <c r="IQ168" s="14"/>
      <c r="IR168" s="14"/>
      <c r="IS168" s="14"/>
      <c r="IT168" s="14"/>
      <c r="IU168" s="14"/>
      <c r="IV168" s="14"/>
      <c r="IW168" s="14"/>
      <c r="IX168" s="14"/>
      <c r="IY168" s="14"/>
      <c r="IZ168" s="14"/>
    </row>
    <row r="169" spans="30:260" ht="15.95" customHeight="1">
      <c r="AD169" s="131">
        <v>168</v>
      </c>
      <c r="AE169" s="372">
        <v>3</v>
      </c>
      <c r="AF169" s="372">
        <v>1</v>
      </c>
      <c r="AG169" s="372">
        <v>1</v>
      </c>
      <c r="AH169" s="373" t="s">
        <v>1691</v>
      </c>
      <c r="AI169" s="373">
        <v>16</v>
      </c>
      <c r="AJ169" s="373">
        <v>11.2</v>
      </c>
      <c r="AK169" s="373">
        <v>2</v>
      </c>
      <c r="AL169" s="374">
        <v>2</v>
      </c>
      <c r="AM169" s="373">
        <v>29.58</v>
      </c>
      <c r="AN169" s="373">
        <v>102</v>
      </c>
      <c r="AO169" s="373">
        <v>13.6</v>
      </c>
      <c r="AP169" s="371" t="b">
        <f>IF(BP$37=AE169,AD169)</f>
        <v>0</v>
      </c>
      <c r="AQ169" s="16" t="b">
        <f t="shared" si="49"/>
        <v>0</v>
      </c>
      <c r="AR169" s="16" t="b">
        <f t="shared" si="50"/>
        <v>0</v>
      </c>
      <c r="AS169" s="16">
        <f t="shared" si="51"/>
        <v>168</v>
      </c>
      <c r="AT169" s="16">
        <f t="shared" si="52"/>
        <v>168</v>
      </c>
      <c r="AU169" s="16" t="b">
        <f t="shared" si="53"/>
        <v>0</v>
      </c>
      <c r="EN169" s="26"/>
      <c r="EO169" s="14"/>
      <c r="EP169" s="14"/>
      <c r="EQ169" s="14"/>
      <c r="ER169" s="14"/>
      <c r="ES169" s="14"/>
      <c r="ET169" s="14">
        <f>INT(ET168)</f>
        <v>200</v>
      </c>
      <c r="EU169" s="14"/>
      <c r="EV169" s="14"/>
      <c r="EW169" s="14"/>
      <c r="EX169" s="14"/>
      <c r="EY169" s="14"/>
      <c r="GH169"/>
      <c r="GI169" s="426"/>
      <c r="GJ169" s="424">
        <f>INT(GJ168)</f>
        <v>-5</v>
      </c>
      <c r="GK169" s="426"/>
      <c r="GL169" s="424">
        <f>INT(GL168)</f>
        <v>3</v>
      </c>
      <c r="GM169" s="426"/>
      <c r="GN169" s="424">
        <f>INT(GN168)</f>
        <v>0</v>
      </c>
      <c r="GO169" s="426"/>
      <c r="GP169" s="424"/>
      <c r="GQ169" s="423"/>
      <c r="GR169" s="423"/>
      <c r="GS169" s="423"/>
      <c r="GV169"/>
      <c r="GW169"/>
      <c r="GX169" s="102">
        <f>INT(GX168)</f>
        <v>-4</v>
      </c>
      <c r="GY169" s="104"/>
      <c r="GZ169" s="102">
        <f>INT(GZ168)</f>
        <v>3</v>
      </c>
      <c r="HA169" s="104"/>
      <c r="HB169" s="102">
        <f>INT(HB168)</f>
        <v>0</v>
      </c>
      <c r="HC169" s="104"/>
      <c r="HD169" s="102"/>
      <c r="HR169" s="26"/>
      <c r="HU169" s="102">
        <f>INT(HU168)</f>
        <v>19</v>
      </c>
      <c r="IA169"/>
      <c r="IL169" s="24"/>
      <c r="IM169" s="14"/>
      <c r="IN169" s="14"/>
      <c r="IO169" s="14"/>
      <c r="IP169" s="14"/>
      <c r="IQ169" s="14"/>
      <c r="IR169" s="14"/>
      <c r="IS169" s="14"/>
      <c r="IT169" s="14"/>
      <c r="IU169" s="14"/>
      <c r="IV169" s="14"/>
      <c r="IW169" s="14"/>
      <c r="IX169" s="14"/>
      <c r="IY169" s="14"/>
      <c r="IZ169" s="14"/>
    </row>
    <row r="170" spans="30:260" ht="15.95" customHeight="1">
      <c r="AD170" s="131">
        <v>169</v>
      </c>
      <c r="AE170" s="372">
        <v>3</v>
      </c>
      <c r="AF170" s="372">
        <v>1</v>
      </c>
      <c r="AG170" s="372">
        <v>1</v>
      </c>
      <c r="AH170" s="373" t="s">
        <v>1692</v>
      </c>
      <c r="AI170" s="373">
        <v>14</v>
      </c>
      <c r="AJ170" s="373">
        <v>9.9499999999999993</v>
      </c>
      <c r="AK170" s="373">
        <v>2</v>
      </c>
      <c r="AL170" s="374">
        <v>1.75</v>
      </c>
      <c r="AM170" s="373">
        <v>24.21</v>
      </c>
      <c r="AN170" s="373">
        <v>89</v>
      </c>
      <c r="AO170" s="373">
        <v>11.6</v>
      </c>
      <c r="AP170" s="371" t="b">
        <f>IF(BP$37=AE170,AD170)</f>
        <v>0</v>
      </c>
      <c r="AQ170" s="16" t="b">
        <f t="shared" si="49"/>
        <v>0</v>
      </c>
      <c r="AR170" s="16" t="b">
        <f t="shared" si="50"/>
        <v>0</v>
      </c>
      <c r="AS170" s="16">
        <f t="shared" si="51"/>
        <v>169</v>
      </c>
      <c r="AT170" s="16">
        <f t="shared" si="52"/>
        <v>169</v>
      </c>
      <c r="AU170" s="16" t="b">
        <f t="shared" si="53"/>
        <v>0</v>
      </c>
      <c r="EN170" s="26">
        <v>10</v>
      </c>
      <c r="EO170" s="14" t="s">
        <v>1751</v>
      </c>
      <c r="EP170" s="14" t="s">
        <v>1750</v>
      </c>
      <c r="EQ170" s="14"/>
      <c r="ER170" s="14" t="s">
        <v>1752</v>
      </c>
      <c r="ES170" s="14" t="s">
        <v>181</v>
      </c>
      <c r="ET170" s="14" t="str">
        <f>SUBSTITUTE(ET168,",",".")</f>
        <v>200</v>
      </c>
      <c r="EU170" s="418" t="str">
        <f>IF(ET168=ET169,". D0"," D0")</f>
        <v>. D0</v>
      </c>
      <c r="EV170" s="14"/>
      <c r="EW170" s="14"/>
      <c r="EX170" s="14"/>
      <c r="EY170" s="14"/>
      <c r="GC170" s="22"/>
      <c r="GG170" s="26">
        <v>10</v>
      </c>
      <c r="GH170" s="14" t="s">
        <v>675</v>
      </c>
      <c r="GI170" s="14" t="s">
        <v>674</v>
      </c>
      <c r="GJ170" s="14" t="str">
        <f>SUBSTITUTE(GJ168,",",".")</f>
        <v>-4.102</v>
      </c>
      <c r="GK170" s="14" t="str">
        <f>IF(GJ168=GJ169,". Y"," Y")</f>
        <v xml:space="preserve"> Y</v>
      </c>
      <c r="GL170" s="14" t="str">
        <f>SUBSTITUTE(GL168,",",".")</f>
        <v>3.375</v>
      </c>
      <c r="GM170" s="14" t="str">
        <f>IF(GL168=GL169,". Z"," Z")</f>
        <v xml:space="preserve"> Z</v>
      </c>
      <c r="GN170" s="14" t="str">
        <f>SUBSTITUTE(GN168,",",".")</f>
        <v>0.313</v>
      </c>
      <c r="GO170" s="418" t="s">
        <v>1972</v>
      </c>
      <c r="GP170" s="10">
        <f>$BG$52</f>
        <v>3.4380000000000002</v>
      </c>
      <c r="GU170" s="26">
        <v>10</v>
      </c>
      <c r="GV170" s="14" t="s">
        <v>675</v>
      </c>
      <c r="GW170" s="14" t="s">
        <v>674</v>
      </c>
      <c r="GX170" s="14" t="str">
        <f>SUBSTITUTE(GX168,",",".")</f>
        <v>-3.88</v>
      </c>
      <c r="GY170" s="14" t="str">
        <f>IF(GX168=GX169,". Y"," Y")</f>
        <v xml:space="preserve"> Y</v>
      </c>
      <c r="GZ170" s="14" t="str">
        <f>SUBSTITUTE(GZ168,",",".")</f>
        <v>3.375</v>
      </c>
      <c r="HA170" s="14" t="str">
        <f>IF(GZ168=GZ169,". Z"," Z")</f>
        <v xml:space="preserve"> Z</v>
      </c>
      <c r="HB170" s="14" t="str">
        <f>SUBSTITUTE(HB168,",",".")</f>
        <v>0.313</v>
      </c>
      <c r="HC170" s="418" t="s">
        <v>1972</v>
      </c>
      <c r="HD170" s="10">
        <f>$BG$51</f>
        <v>3.4079999999999999</v>
      </c>
      <c r="HR170" s="26">
        <v>10</v>
      </c>
      <c r="HS170" s="14" t="s">
        <v>672</v>
      </c>
      <c r="HT170" s="14" t="s">
        <v>673</v>
      </c>
      <c r="HU170" s="14" t="str">
        <f>SUBSTITUTE(HU168,",",".")</f>
        <v>19.961</v>
      </c>
      <c r="HV170" s="14" t="str">
        <f>IF(HU168=HU169,".","")</f>
        <v/>
      </c>
      <c r="HW170" s="14"/>
      <c r="HX170" s="14"/>
      <c r="HY170" s="14"/>
      <c r="HZ170" s="14"/>
      <c r="IA170" s="14"/>
      <c r="IL170" s="26">
        <v>10</v>
      </c>
      <c r="IM170" s="16" t="s">
        <v>885</v>
      </c>
      <c r="IN170" s="14"/>
      <c r="IO170" s="14"/>
      <c r="IP170" s="14"/>
      <c r="IQ170" s="14"/>
      <c r="IR170" s="14"/>
      <c r="IS170" s="14"/>
      <c r="IT170" s="14"/>
      <c r="IU170" s="14"/>
      <c r="IV170" s="14"/>
      <c r="IW170" s="14"/>
      <c r="IX170" s="14"/>
      <c r="IY170" s="14"/>
      <c r="IZ170" s="14"/>
    </row>
    <row r="171" spans="30:260" ht="15.95" customHeight="1">
      <c r="AD171" s="131">
        <v>170</v>
      </c>
      <c r="AE171" s="372">
        <v>3</v>
      </c>
      <c r="AF171" s="372">
        <v>1</v>
      </c>
      <c r="AG171" s="372">
        <v>1</v>
      </c>
      <c r="AH171" s="373" t="s">
        <v>1693</v>
      </c>
      <c r="AI171" s="373">
        <v>12</v>
      </c>
      <c r="AJ171" s="373">
        <v>7.95</v>
      </c>
      <c r="AK171" s="373">
        <v>2</v>
      </c>
      <c r="AL171" s="374">
        <v>1.5</v>
      </c>
      <c r="AM171" s="373">
        <v>21.05</v>
      </c>
      <c r="AN171" s="373">
        <v>79</v>
      </c>
      <c r="AO171" s="373">
        <v>9.6</v>
      </c>
      <c r="AP171" s="371" t="b">
        <f>IF(BP$37=AE171,AD171)</f>
        <v>0</v>
      </c>
      <c r="AQ171" s="16" t="b">
        <f t="shared" si="49"/>
        <v>0</v>
      </c>
      <c r="AR171" s="16" t="b">
        <f t="shared" si="50"/>
        <v>0</v>
      </c>
      <c r="AS171" s="16">
        <f t="shared" si="51"/>
        <v>170</v>
      </c>
      <c r="AT171" s="16">
        <f t="shared" si="52"/>
        <v>170</v>
      </c>
      <c r="AU171" s="16" t="b">
        <f t="shared" si="53"/>
        <v>0</v>
      </c>
      <c r="HS171" s="14"/>
      <c r="HT171" s="14"/>
      <c r="HU171" s="14"/>
      <c r="HV171" s="14"/>
      <c r="HW171" s="14"/>
      <c r="HX171" s="14">
        <v>200</v>
      </c>
      <c r="HY171" s="14"/>
      <c r="HZ171" s="14"/>
      <c r="IA171" s="14"/>
      <c r="IL171" s="24"/>
      <c r="IM171" s="14"/>
      <c r="IN171" s="14"/>
      <c r="IO171" s="14"/>
      <c r="IP171" s="14"/>
      <c r="IQ171" s="14"/>
      <c r="IR171" s="14"/>
      <c r="IS171" s="14"/>
      <c r="IT171" s="14"/>
      <c r="IU171" s="14"/>
      <c r="IV171" s="14"/>
      <c r="IW171" s="14"/>
      <c r="IX171" s="14"/>
      <c r="IY171" s="14"/>
      <c r="IZ171" s="14"/>
    </row>
    <row r="172" spans="30:260" ht="15.95" customHeight="1">
      <c r="AD172" s="131">
        <v>171</v>
      </c>
      <c r="AE172" s="372">
        <v>3</v>
      </c>
      <c r="AF172" s="372">
        <v>1</v>
      </c>
      <c r="AG172" s="372">
        <v>1</v>
      </c>
      <c r="AH172" s="373" t="s">
        <v>1694</v>
      </c>
      <c r="AI172" s="373">
        <v>10</v>
      </c>
      <c r="AJ172" s="373">
        <v>6.35</v>
      </c>
      <c r="AK172" s="373">
        <v>2</v>
      </c>
      <c r="AL172" s="374">
        <v>1.25</v>
      </c>
      <c r="AM172" s="373">
        <v>16.27</v>
      </c>
      <c r="AN172" s="373">
        <v>74</v>
      </c>
      <c r="AO172" s="373">
        <v>7.8</v>
      </c>
      <c r="AP172" s="371" t="b">
        <f>IF(BP$37=AE172,AD172)</f>
        <v>0</v>
      </c>
      <c r="AQ172" s="16">
        <f t="shared" si="49"/>
        <v>171</v>
      </c>
      <c r="AR172" s="16">
        <f t="shared" si="50"/>
        <v>171</v>
      </c>
      <c r="AS172" s="16" t="b">
        <f t="shared" si="51"/>
        <v>0</v>
      </c>
      <c r="AT172" s="16">
        <f t="shared" si="52"/>
        <v>171</v>
      </c>
      <c r="AU172" s="16" t="b">
        <f t="shared" si="53"/>
        <v>0</v>
      </c>
      <c r="HS172" s="14"/>
      <c r="HT172" s="14"/>
      <c r="HU172" s="14"/>
      <c r="HV172" s="14"/>
      <c r="HW172" s="14"/>
      <c r="HX172" s="14">
        <f>INT(HX171)</f>
        <v>200</v>
      </c>
      <c r="HY172" s="14"/>
      <c r="HZ172" s="14"/>
      <c r="IA172" s="14"/>
      <c r="IL172" s="24"/>
      <c r="IM172" s="14"/>
      <c r="IN172" s="14"/>
      <c r="IO172" s="14"/>
      <c r="IP172" s="14"/>
      <c r="IQ172" s="14"/>
      <c r="IR172" s="14"/>
      <c r="IS172" s="14"/>
      <c r="IT172" s="14"/>
      <c r="IU172" s="14"/>
      <c r="IV172" s="14"/>
      <c r="IW172" s="14"/>
      <c r="IX172" s="14"/>
      <c r="IY172" s="14"/>
      <c r="IZ172" s="14"/>
    </row>
    <row r="173" spans="30:260" ht="15.95" customHeight="1">
      <c r="AD173" s="131">
        <v>172</v>
      </c>
      <c r="AE173" s="372">
        <v>3</v>
      </c>
      <c r="AF173" s="372">
        <v>1</v>
      </c>
      <c r="AG173" s="372">
        <v>1</v>
      </c>
      <c r="AH173" s="373" t="s">
        <v>1695</v>
      </c>
      <c r="AI173" s="373">
        <v>8</v>
      </c>
      <c r="AJ173" s="373">
        <v>4.75</v>
      </c>
      <c r="AK173" s="373">
        <v>2</v>
      </c>
      <c r="AL173" s="374">
        <v>1</v>
      </c>
      <c r="AM173" s="373">
        <v>13</v>
      </c>
      <c r="AN173" s="373">
        <v>62</v>
      </c>
      <c r="AO173" s="373">
        <v>5.8</v>
      </c>
      <c r="AP173" s="371" t="b">
        <f>IF(BP$37=AE173,AD173)</f>
        <v>0</v>
      </c>
      <c r="AQ173" s="16">
        <f t="shared" si="49"/>
        <v>172</v>
      </c>
      <c r="AR173" s="16" t="b">
        <f t="shared" si="50"/>
        <v>0</v>
      </c>
      <c r="AS173" s="16" t="b">
        <f t="shared" si="51"/>
        <v>0</v>
      </c>
      <c r="AT173" s="16">
        <f t="shared" si="52"/>
        <v>172</v>
      </c>
      <c r="AU173" s="16" t="b">
        <f t="shared" si="53"/>
        <v>0</v>
      </c>
      <c r="EN173" s="105">
        <v>11</v>
      </c>
      <c r="EO173" s="16" t="s">
        <v>885</v>
      </c>
      <c r="HR173" s="105">
        <v>11</v>
      </c>
      <c r="HS173" s="14" t="s">
        <v>886</v>
      </c>
      <c r="HT173" s="14" t="s">
        <v>887</v>
      </c>
      <c r="HU173" s="14"/>
      <c r="HV173" s="14" t="s">
        <v>888</v>
      </c>
      <c r="HW173" s="14" t="s">
        <v>1968</v>
      </c>
      <c r="HX173" s="14" t="str">
        <f>SUBSTITUTE(HX171,",",".")</f>
        <v>200</v>
      </c>
      <c r="HY173" s="418" t="str">
        <f>IF(HX171=HX172,". D0"," D0")</f>
        <v>. D0</v>
      </c>
      <c r="HZ173" s="14"/>
      <c r="IA173" s="14"/>
      <c r="IL173" s="24"/>
      <c r="IM173" s="14"/>
      <c r="IN173" s="14"/>
      <c r="IO173" s="14"/>
      <c r="IP173" s="14"/>
      <c r="IQ173" s="14"/>
      <c r="IR173" s="14"/>
      <c r="IS173" s="14"/>
      <c r="IT173" s="14"/>
      <c r="IU173" s="14"/>
      <c r="IV173" s="14"/>
      <c r="IW173" s="14"/>
      <c r="IX173" s="14"/>
      <c r="IY173" s="14"/>
      <c r="IZ173" s="14"/>
    </row>
    <row r="174" spans="30:260" ht="15.95" customHeight="1">
      <c r="AD174" s="131">
        <v>173</v>
      </c>
      <c r="AE174" s="131"/>
      <c r="AF174" s="131"/>
      <c r="AG174" s="131"/>
      <c r="AP174" s="35" t="b">
        <f t="shared" si="48"/>
        <v>0</v>
      </c>
      <c r="AQ174" s="16">
        <f t="shared" si="49"/>
        <v>173</v>
      </c>
      <c r="AR174" s="16" t="b">
        <f t="shared" si="50"/>
        <v>0</v>
      </c>
      <c r="AS174" s="16" t="b">
        <f t="shared" si="51"/>
        <v>0</v>
      </c>
      <c r="AT174" s="16" t="b">
        <f t="shared" si="52"/>
        <v>0</v>
      </c>
      <c r="AU174" s="16" t="b">
        <f t="shared" si="53"/>
        <v>0</v>
      </c>
      <c r="IA174"/>
      <c r="IL174" s="24"/>
      <c r="IM174" s="14"/>
      <c r="IN174" s="14"/>
      <c r="IO174" s="14"/>
      <c r="IP174" s="14"/>
      <c r="IQ174" s="14"/>
      <c r="IR174" s="14"/>
      <c r="IS174" s="14"/>
      <c r="IT174" s="14"/>
      <c r="IU174" s="14"/>
      <c r="IV174" s="14"/>
      <c r="IW174" s="14"/>
      <c r="IX174" s="14"/>
      <c r="IY174" s="14"/>
      <c r="IZ174" s="14"/>
    </row>
    <row r="175" spans="30:260" ht="15.95" customHeight="1">
      <c r="AD175" s="131">
        <v>174</v>
      </c>
      <c r="AE175" s="131"/>
      <c r="AF175" s="131"/>
      <c r="AG175" s="131"/>
      <c r="AP175" s="35" t="b">
        <f t="shared" si="48"/>
        <v>0</v>
      </c>
      <c r="AQ175" s="16">
        <f t="shared" si="49"/>
        <v>174</v>
      </c>
      <c r="AR175" s="16" t="b">
        <f t="shared" si="50"/>
        <v>0</v>
      </c>
      <c r="AS175" s="16" t="b">
        <f t="shared" si="51"/>
        <v>0</v>
      </c>
      <c r="AT175" s="16" t="b">
        <f t="shared" si="52"/>
        <v>0</v>
      </c>
      <c r="AU175" s="16" t="b">
        <f t="shared" si="53"/>
        <v>0</v>
      </c>
      <c r="GB175" s="26"/>
      <c r="GC175" s="53"/>
      <c r="IA175"/>
      <c r="IL175" s="24"/>
      <c r="IM175" s="14"/>
      <c r="IN175" s="14"/>
      <c r="IO175" s="14"/>
      <c r="IP175" s="14"/>
      <c r="IQ175" s="14"/>
      <c r="IR175" s="14"/>
      <c r="IS175" s="14"/>
      <c r="IT175" s="14"/>
      <c r="IU175" s="14"/>
      <c r="IV175" s="14"/>
      <c r="IW175" s="14"/>
      <c r="IX175" s="14"/>
      <c r="IY175" s="14"/>
      <c r="IZ175" s="14"/>
    </row>
    <row r="176" spans="30:260" ht="15.95" customHeight="1">
      <c r="AD176" s="131">
        <v>175</v>
      </c>
      <c r="AE176" s="131"/>
      <c r="AF176" s="131"/>
      <c r="AG176" s="131"/>
      <c r="AP176" s="35" t="b">
        <f t="shared" si="48"/>
        <v>0</v>
      </c>
      <c r="AQ176" s="16">
        <f t="shared" si="49"/>
        <v>175</v>
      </c>
      <c r="AR176" s="16" t="b">
        <f t="shared" si="50"/>
        <v>0</v>
      </c>
      <c r="AS176" s="16" t="b">
        <f t="shared" si="51"/>
        <v>0</v>
      </c>
      <c r="AT176" s="16" t="b">
        <f t="shared" si="52"/>
        <v>0</v>
      </c>
      <c r="AU176" s="16" t="b">
        <f t="shared" si="53"/>
        <v>0</v>
      </c>
      <c r="HR176" s="105">
        <v>12</v>
      </c>
      <c r="HS176" s="16" t="s">
        <v>885</v>
      </c>
      <c r="IA176"/>
      <c r="IL176" s="24"/>
      <c r="IM176" s="22" t="s">
        <v>1991</v>
      </c>
      <c r="IN176" s="14"/>
      <c r="IO176" s="14"/>
      <c r="IP176" s="14"/>
      <c r="IQ176" s="14"/>
      <c r="IR176" s="14"/>
      <c r="IS176" s="14"/>
      <c r="IT176" s="14"/>
      <c r="IU176" s="14"/>
      <c r="IV176" s="14"/>
      <c r="IW176" s="14"/>
      <c r="IX176" s="14"/>
      <c r="IY176" s="14"/>
      <c r="IZ176" s="14"/>
    </row>
    <row r="177" spans="30:260" ht="15.95" customHeight="1">
      <c r="AD177" s="131">
        <v>176</v>
      </c>
      <c r="AE177" s="131"/>
      <c r="AF177" s="131"/>
      <c r="AG177" s="131"/>
      <c r="AP177" s="35" t="b">
        <f t="shared" si="48"/>
        <v>0</v>
      </c>
      <c r="AQ177" s="16">
        <f t="shared" si="49"/>
        <v>176</v>
      </c>
      <c r="AR177" s="16" t="b">
        <f t="shared" si="50"/>
        <v>0</v>
      </c>
      <c r="AS177" s="16" t="b">
        <f t="shared" si="51"/>
        <v>0</v>
      </c>
      <c r="AT177" s="16" t="b">
        <f t="shared" si="52"/>
        <v>0</v>
      </c>
      <c r="AU177" s="16" t="b">
        <f t="shared" si="53"/>
        <v>0</v>
      </c>
      <c r="IL177" s="24"/>
      <c r="IM177" s="14"/>
      <c r="IN177" s="14"/>
      <c r="IO177" s="14"/>
      <c r="IP177" s="14"/>
      <c r="IQ177" s="14"/>
      <c r="IR177" s="14"/>
      <c r="IS177" s="14"/>
      <c r="IT177" s="14"/>
      <c r="IU177" s="14"/>
      <c r="IV177" s="14"/>
      <c r="IW177" s="14"/>
      <c r="IX177" s="14"/>
      <c r="IY177" s="14"/>
      <c r="IZ177" s="14"/>
    </row>
    <row r="178" spans="30:260" ht="15.95" customHeight="1">
      <c r="AD178" s="131">
        <v>177</v>
      </c>
      <c r="AE178" s="131"/>
      <c r="AF178" s="131"/>
      <c r="AG178" s="131"/>
      <c r="AP178" s="35" t="b">
        <f t="shared" si="48"/>
        <v>0</v>
      </c>
      <c r="AQ178" s="16">
        <f t="shared" si="49"/>
        <v>177</v>
      </c>
      <c r="AR178" s="16" t="b">
        <f t="shared" si="50"/>
        <v>0</v>
      </c>
      <c r="AS178" s="16" t="b">
        <f t="shared" si="51"/>
        <v>0</v>
      </c>
      <c r="AT178" s="16" t="b">
        <f t="shared" si="52"/>
        <v>0</v>
      </c>
      <c r="AU178" s="16" t="b">
        <f t="shared" si="53"/>
        <v>0</v>
      </c>
      <c r="IL178" s="26">
        <v>4</v>
      </c>
      <c r="IM178" s="14" t="s">
        <v>180</v>
      </c>
      <c r="IN178" s="14" t="s">
        <v>1756</v>
      </c>
      <c r="IO178" s="418" t="s">
        <v>644</v>
      </c>
      <c r="IP178" s="14" t="s">
        <v>1350</v>
      </c>
      <c r="IQ178" s="14" t="s">
        <v>1352</v>
      </c>
      <c r="IR178" s="10">
        <f>$IR$38</f>
        <v>3.375</v>
      </c>
      <c r="IS178" s="14" t="s">
        <v>841</v>
      </c>
      <c r="IT178" s="14">
        <f>$IT$38</f>
        <v>35</v>
      </c>
      <c r="IU178" s="14"/>
      <c r="IV178" s="14"/>
      <c r="IW178" s="14"/>
      <c r="IX178" s="16"/>
      <c r="IY178" s="16"/>
      <c r="IZ178" s="16"/>
    </row>
    <row r="179" spans="30:260" ht="15.95" customHeight="1">
      <c r="AD179" s="131">
        <v>178</v>
      </c>
      <c r="AE179" s="131"/>
      <c r="AF179" s="131"/>
      <c r="AG179" s="131"/>
      <c r="AP179" s="35" t="b">
        <f t="shared" si="48"/>
        <v>0</v>
      </c>
      <c r="AQ179" s="16">
        <f t="shared" si="49"/>
        <v>178</v>
      </c>
      <c r="AR179" s="16" t="b">
        <f t="shared" si="50"/>
        <v>0</v>
      </c>
      <c r="AS179" s="16" t="b">
        <f t="shared" si="51"/>
        <v>0</v>
      </c>
      <c r="AT179" s="16" t="b">
        <f t="shared" si="52"/>
        <v>0</v>
      </c>
      <c r="AU179" s="16" t="b">
        <f t="shared" si="53"/>
        <v>0</v>
      </c>
      <c r="IL179" s="26"/>
      <c r="IM179" s="14"/>
      <c r="IN179" s="14"/>
      <c r="IO179" s="103">
        <f>$IO$39</f>
        <v>3.84</v>
      </c>
      <c r="IP179" s="103"/>
      <c r="IQ179" s="101">
        <f>$IQ$39</f>
        <v>-3.375</v>
      </c>
      <c r="IR179" s="103"/>
      <c r="IS179" s="103">
        <f>$IS$39</f>
        <v>-0.313</v>
      </c>
      <c r="IT179" s="14"/>
      <c r="IU179" s="14"/>
      <c r="IV179" s="14"/>
      <c r="IW179" s="14"/>
      <c r="IX179" s="16"/>
      <c r="IY179" s="16"/>
      <c r="IZ179" s="16"/>
    </row>
    <row r="180" spans="30:260" ht="15.95" customHeight="1">
      <c r="AD180" s="131">
        <v>179</v>
      </c>
      <c r="AE180" s="131"/>
      <c r="AF180" s="131"/>
      <c r="AG180" s="131"/>
      <c r="AP180" s="35" t="b">
        <f t="shared" si="48"/>
        <v>0</v>
      </c>
      <c r="AQ180" s="16">
        <f t="shared" si="49"/>
        <v>179</v>
      </c>
      <c r="AR180" s="16" t="b">
        <f t="shared" si="50"/>
        <v>0</v>
      </c>
      <c r="AS180" s="16" t="b">
        <f t="shared" si="51"/>
        <v>0</v>
      </c>
      <c r="AT180" s="16" t="b">
        <f t="shared" si="52"/>
        <v>0</v>
      </c>
      <c r="AU180" s="16" t="b">
        <f t="shared" si="53"/>
        <v>0</v>
      </c>
      <c r="IO180" s="102">
        <f>INT(IO179)</f>
        <v>3</v>
      </c>
      <c r="IP180" s="102"/>
      <c r="IQ180" s="102">
        <f>INT(IQ179)</f>
        <v>-4</v>
      </c>
      <c r="IR180" s="102"/>
      <c r="IS180" s="102">
        <f>INT(IS179)</f>
        <v>-1</v>
      </c>
      <c r="IX180" s="16"/>
      <c r="IY180" s="16"/>
      <c r="IZ180" s="16"/>
    </row>
    <row r="181" spans="30:260" ht="15.95" customHeight="1">
      <c r="AD181" s="131">
        <v>180</v>
      </c>
      <c r="AE181" s="131"/>
      <c r="AF181" s="131"/>
      <c r="AG181" s="131"/>
      <c r="AP181" s="35" t="b">
        <f t="shared" si="48"/>
        <v>0</v>
      </c>
      <c r="AQ181" s="16">
        <f t="shared" si="49"/>
        <v>180</v>
      </c>
      <c r="AR181" s="16" t="b">
        <f t="shared" si="50"/>
        <v>0</v>
      </c>
      <c r="AS181" s="16" t="b">
        <f t="shared" si="51"/>
        <v>0</v>
      </c>
      <c r="AT181" s="16" t="b">
        <f t="shared" si="52"/>
        <v>0</v>
      </c>
      <c r="AU181" s="16" t="b">
        <f t="shared" si="53"/>
        <v>0</v>
      </c>
      <c r="IL181" s="26">
        <v>5</v>
      </c>
      <c r="IM181" s="14" t="s">
        <v>1749</v>
      </c>
      <c r="IN181" s="14" t="s">
        <v>674</v>
      </c>
      <c r="IO181" s="14" t="str">
        <f>SUBSTITUTE(IO179,",",".")</f>
        <v>3.84</v>
      </c>
      <c r="IP181" s="14" t="str">
        <f>IF(IO179=IO180,". Y"," Y")</f>
        <v xml:space="preserve"> Y</v>
      </c>
      <c r="IQ181" s="14" t="str">
        <f>SUBSTITUTE(IQ179,",",".")</f>
        <v>-3.375</v>
      </c>
      <c r="IR181" s="14" t="str">
        <f>IF(IQ179=IQ180,". Z"," Z")</f>
        <v xml:space="preserve"> Z</v>
      </c>
      <c r="IS181" s="14" t="str">
        <f>SUBSTITUTE(IS179,",",".")</f>
        <v>-0.313</v>
      </c>
      <c r="IT181" s="418" t="s">
        <v>1972</v>
      </c>
      <c r="IU181" s="14">
        <f>$IU$41</f>
        <v>3.403</v>
      </c>
      <c r="IV181" s="14"/>
      <c r="IW181" s="14"/>
      <c r="IX181" s="14"/>
      <c r="IY181" s="14"/>
      <c r="IZ181" s="14"/>
    </row>
    <row r="182" spans="30:260" ht="15.95" customHeight="1">
      <c r="AD182" s="131">
        <v>181</v>
      </c>
      <c r="AE182" s="131"/>
      <c r="AF182" s="131"/>
      <c r="AG182" s="131"/>
      <c r="AP182" s="35" t="b">
        <f t="shared" si="48"/>
        <v>0</v>
      </c>
      <c r="AQ182" s="16">
        <f t="shared" si="49"/>
        <v>181</v>
      </c>
      <c r="AR182" s="16" t="b">
        <f t="shared" si="50"/>
        <v>0</v>
      </c>
      <c r="AS182" s="16" t="b">
        <f t="shared" si="51"/>
        <v>0</v>
      </c>
      <c r="AT182" s="16" t="b">
        <f t="shared" si="52"/>
        <v>0</v>
      </c>
      <c r="AU182" s="16" t="b">
        <f t="shared" si="53"/>
        <v>0</v>
      </c>
      <c r="IL182" s="26"/>
      <c r="IM182" s="14"/>
      <c r="IN182" s="14"/>
      <c r="IO182" s="14"/>
      <c r="IP182" s="14"/>
      <c r="IQ182" s="14"/>
      <c r="IR182" s="14"/>
      <c r="IS182" s="101">
        <f>$IS$42</f>
        <v>-1.25</v>
      </c>
      <c r="IT182" s="103"/>
      <c r="IU182" s="103">
        <f>$IU$42</f>
        <v>-3.84</v>
      </c>
      <c r="IV182" s="14"/>
      <c r="IW182" s="14"/>
      <c r="IX182" s="16"/>
      <c r="IY182" s="16"/>
      <c r="IZ182" s="16"/>
    </row>
    <row r="183" spans="30:260" ht="15.95" customHeight="1">
      <c r="AD183" s="131">
        <v>182</v>
      </c>
      <c r="AE183" s="131"/>
      <c r="AF183" s="131"/>
      <c r="AG183" s="131"/>
      <c r="AP183" s="35" t="b">
        <f t="shared" si="48"/>
        <v>0</v>
      </c>
      <c r="AQ183" s="16">
        <f t="shared" si="49"/>
        <v>182</v>
      </c>
      <c r="AR183" s="16" t="b">
        <f t="shared" si="50"/>
        <v>0</v>
      </c>
      <c r="AS183" s="16" t="b">
        <f t="shared" si="51"/>
        <v>0</v>
      </c>
      <c r="AT183" s="16" t="b">
        <f t="shared" si="52"/>
        <v>0</v>
      </c>
      <c r="AU183" s="16" t="b">
        <f t="shared" si="53"/>
        <v>0</v>
      </c>
      <c r="IL183" s="24"/>
      <c r="IM183"/>
      <c r="IN183"/>
      <c r="IO183"/>
      <c r="IP183"/>
      <c r="IQ183"/>
      <c r="IR183"/>
      <c r="IS183" s="102">
        <f>INT(IS182)</f>
        <v>-2</v>
      </c>
      <c r="IT183" s="104"/>
      <c r="IU183" s="102">
        <f>INT(IU182)</f>
        <v>-4</v>
      </c>
      <c r="IV183"/>
      <c r="IW183"/>
      <c r="IX183" s="16"/>
      <c r="IY183" s="16"/>
      <c r="IZ183" s="16"/>
    </row>
    <row r="184" spans="30:260" ht="15.95" customHeight="1">
      <c r="AD184" s="131">
        <v>183</v>
      </c>
      <c r="AE184" s="131"/>
      <c r="AF184" s="131"/>
      <c r="AG184" s="131"/>
      <c r="AP184" s="35" t="b">
        <f t="shared" si="48"/>
        <v>0</v>
      </c>
      <c r="AQ184" s="16">
        <f t="shared" si="49"/>
        <v>183</v>
      </c>
      <c r="AR184" s="16" t="b">
        <f t="shared" si="50"/>
        <v>0</v>
      </c>
      <c r="AS184" s="16" t="b">
        <f t="shared" si="51"/>
        <v>0</v>
      </c>
      <c r="AT184" s="16" t="b">
        <f t="shared" si="52"/>
        <v>0</v>
      </c>
      <c r="AU184" s="16" t="b">
        <f t="shared" si="53"/>
        <v>0</v>
      </c>
      <c r="IL184" s="26">
        <v>6</v>
      </c>
      <c r="IM184" s="14" t="s">
        <v>1749</v>
      </c>
      <c r="IN184" s="14" t="s">
        <v>674</v>
      </c>
      <c r="IO184" s="14">
        <v>0</v>
      </c>
      <c r="IP184" s="14" t="s">
        <v>676</v>
      </c>
      <c r="IQ184" s="14">
        <v>0</v>
      </c>
      <c r="IR184" s="14" t="s">
        <v>677</v>
      </c>
      <c r="IS184" s="14" t="str">
        <f>SUBSTITUTE(IS182,",",".")</f>
        <v>-1.25</v>
      </c>
      <c r="IT184" s="14" t="str">
        <f>IF(IS182=IS183,". I"," I")</f>
        <v xml:space="preserve"> I</v>
      </c>
      <c r="IU184" s="14" t="str">
        <f>SUBSTITUTE(IU182,",",".")</f>
        <v>-3.84</v>
      </c>
      <c r="IV184" s="14" t="str">
        <f>IF(IU182=IU183,". J"," J")</f>
        <v xml:space="preserve"> J</v>
      </c>
      <c r="IW184" s="14">
        <v>0</v>
      </c>
      <c r="IX184" s="16" t="s">
        <v>255</v>
      </c>
      <c r="IY184" s="16" t="s">
        <v>841</v>
      </c>
      <c r="IZ184" s="16">
        <f>$IZ$44</f>
        <v>70</v>
      </c>
    </row>
    <row r="185" spans="30:260" ht="15.95" customHeight="1">
      <c r="AD185" s="131">
        <v>184</v>
      </c>
      <c r="AE185" s="131"/>
      <c r="AF185" s="131"/>
      <c r="AG185" s="131"/>
      <c r="AP185" s="35" t="b">
        <f t="shared" si="48"/>
        <v>0</v>
      </c>
      <c r="AQ185" s="16">
        <f t="shared" si="49"/>
        <v>184</v>
      </c>
      <c r="AR185" s="16" t="b">
        <f t="shared" si="50"/>
        <v>0</v>
      </c>
      <c r="AS185" s="16" t="b">
        <f t="shared" si="51"/>
        <v>0</v>
      </c>
      <c r="AT185" s="16" t="b">
        <f t="shared" si="52"/>
        <v>0</v>
      </c>
      <c r="AU185" s="16" t="b">
        <f t="shared" si="53"/>
        <v>0</v>
      </c>
      <c r="IL185" s="26"/>
      <c r="IM185" s="14"/>
      <c r="IN185" s="14"/>
      <c r="IO185" s="103">
        <f>$IO$45</f>
        <v>-3.84</v>
      </c>
      <c r="IP185" s="103"/>
      <c r="IQ185" s="101">
        <f>$IQ$45</f>
        <v>-3.375</v>
      </c>
      <c r="IR185" s="103"/>
      <c r="IS185" s="103">
        <f>$IS$45</f>
        <v>-0.313</v>
      </c>
      <c r="IT185" s="103"/>
      <c r="IU185" s="103"/>
      <c r="IV185" s="14"/>
      <c r="IW185" s="14"/>
      <c r="IX185" s="16"/>
      <c r="IY185" s="16"/>
      <c r="IZ185" s="16"/>
    </row>
    <row r="186" spans="30:260" ht="15.95" customHeight="1">
      <c r="AD186" s="131">
        <v>185</v>
      </c>
      <c r="AE186" s="131"/>
      <c r="AF186" s="131"/>
      <c r="AG186" s="131"/>
      <c r="AP186" s="35" t="b">
        <f t="shared" si="48"/>
        <v>0</v>
      </c>
      <c r="AQ186" s="16">
        <f t="shared" si="49"/>
        <v>185</v>
      </c>
      <c r="AR186" s="16" t="b">
        <f t="shared" si="50"/>
        <v>0</v>
      </c>
      <c r="AS186" s="16" t="b">
        <f t="shared" si="51"/>
        <v>0</v>
      </c>
      <c r="AT186" s="16" t="b">
        <f t="shared" si="52"/>
        <v>0</v>
      </c>
      <c r="AU186" s="16" t="b">
        <f t="shared" si="53"/>
        <v>0</v>
      </c>
      <c r="IL186" s="24"/>
      <c r="IM186"/>
      <c r="IN186"/>
      <c r="IO186" s="102">
        <f>INT(IO185)</f>
        <v>-4</v>
      </c>
      <c r="IP186" s="104"/>
      <c r="IQ186" s="102">
        <f>INT(IQ185)</f>
        <v>-4</v>
      </c>
      <c r="IR186" s="104"/>
      <c r="IS186" s="102">
        <f>INT(IS185)</f>
        <v>-1</v>
      </c>
      <c r="IT186" s="104"/>
      <c r="IU186" s="102"/>
      <c r="IV186"/>
      <c r="IW186"/>
      <c r="IX186" s="16"/>
      <c r="IY186" s="16"/>
      <c r="IZ186" s="16"/>
    </row>
    <row r="187" spans="30:260" ht="15.95" customHeight="1">
      <c r="AD187" s="131">
        <v>186</v>
      </c>
      <c r="AE187" s="131"/>
      <c r="AF187" s="131"/>
      <c r="AG187" s="131"/>
      <c r="AP187" s="35" t="b">
        <f t="shared" si="48"/>
        <v>0</v>
      </c>
      <c r="AQ187" s="16">
        <f t="shared" si="49"/>
        <v>186</v>
      </c>
      <c r="AR187" s="16" t="b">
        <f t="shared" si="50"/>
        <v>0</v>
      </c>
      <c r="AS187" s="16" t="b">
        <f t="shared" si="51"/>
        <v>0</v>
      </c>
      <c r="AT187" s="16" t="b">
        <f t="shared" si="52"/>
        <v>0</v>
      </c>
      <c r="AU187" s="16" t="b">
        <f t="shared" si="53"/>
        <v>0</v>
      </c>
      <c r="GB187" s="26"/>
      <c r="GC187" s="201"/>
      <c r="IL187" s="26">
        <v>7</v>
      </c>
      <c r="IM187" s="14" t="s">
        <v>1749</v>
      </c>
      <c r="IN187" s="14" t="s">
        <v>674</v>
      </c>
      <c r="IO187" s="14" t="str">
        <f>SUBSTITUTE(IO185,",",".")</f>
        <v>-3.84</v>
      </c>
      <c r="IP187" s="14" t="str">
        <f>IF(IO185=IO186,". Y"," Y")</f>
        <v xml:space="preserve"> Y</v>
      </c>
      <c r="IQ187" s="14" t="str">
        <f>SUBSTITUTE(IQ185,",",".")</f>
        <v>-3.375</v>
      </c>
      <c r="IR187" s="14" t="str">
        <f>IF(IQ185=IQ186,". Z"," Z")</f>
        <v xml:space="preserve"> Z</v>
      </c>
      <c r="IS187" s="14" t="str">
        <f>SUBSTITUTE(IS185,",",".")</f>
        <v>-0.313</v>
      </c>
      <c r="IT187" s="418" t="s">
        <v>1972</v>
      </c>
      <c r="IU187" s="14">
        <f>$IU$47</f>
        <v>3.403</v>
      </c>
      <c r="IV187" s="14"/>
      <c r="IW187" s="14"/>
      <c r="IX187" s="16"/>
      <c r="IY187" s="16"/>
      <c r="IZ187" s="16"/>
    </row>
    <row r="188" spans="30:260" ht="15.95" customHeight="1">
      <c r="AD188" s="131">
        <v>187</v>
      </c>
      <c r="AE188" s="131"/>
      <c r="AF188" s="131"/>
      <c r="AG188" s="131"/>
      <c r="AP188" s="35" t="b">
        <f t="shared" si="48"/>
        <v>0</v>
      </c>
      <c r="AQ188" s="16">
        <f t="shared" si="49"/>
        <v>187</v>
      </c>
      <c r="AR188" s="16" t="b">
        <f t="shared" si="50"/>
        <v>0</v>
      </c>
      <c r="AS188" s="16" t="b">
        <f t="shared" si="51"/>
        <v>0</v>
      </c>
      <c r="AT188" s="16" t="b">
        <f t="shared" si="52"/>
        <v>0</v>
      </c>
      <c r="AU188" s="16" t="b">
        <f t="shared" si="53"/>
        <v>0</v>
      </c>
      <c r="IL188" s="26"/>
      <c r="IM188" s="14"/>
      <c r="IN188" s="14"/>
      <c r="IO188" s="14"/>
      <c r="IP188" s="103">
        <v>0</v>
      </c>
      <c r="IQ188" s="103"/>
      <c r="IR188" s="101">
        <f>$IR$48</f>
        <v>3.375</v>
      </c>
      <c r="IS188" s="14"/>
      <c r="IT188" s="14"/>
      <c r="IU188" s="14"/>
      <c r="IV188" s="14"/>
      <c r="IW188" s="14"/>
      <c r="IX188" s="16"/>
      <c r="IY188" s="16"/>
      <c r="IZ188" s="16"/>
    </row>
    <row r="189" spans="30:260" ht="15.95" customHeight="1">
      <c r="AD189" s="131">
        <v>188</v>
      </c>
      <c r="AE189" s="131"/>
      <c r="AF189" s="131"/>
      <c r="AG189" s="131"/>
      <c r="AP189" s="35" t="b">
        <f t="shared" si="48"/>
        <v>0</v>
      </c>
      <c r="AQ189" s="16">
        <f t="shared" si="49"/>
        <v>188</v>
      </c>
      <c r="AR189" s="16" t="b">
        <f t="shared" si="50"/>
        <v>0</v>
      </c>
      <c r="AS189" s="16" t="b">
        <f t="shared" si="51"/>
        <v>0</v>
      </c>
      <c r="AT189" s="16" t="b">
        <f t="shared" si="52"/>
        <v>0</v>
      </c>
      <c r="AU189" s="16" t="b">
        <f t="shared" si="53"/>
        <v>0</v>
      </c>
      <c r="IL189" s="24"/>
      <c r="IM189"/>
      <c r="IN189"/>
      <c r="IO189"/>
      <c r="IP189" s="102">
        <f>INT(IP188)</f>
        <v>0</v>
      </c>
      <c r="IQ189" s="104"/>
      <c r="IR189" s="102">
        <f>INT(IR188)</f>
        <v>3</v>
      </c>
      <c r="IS189"/>
      <c r="IT189"/>
      <c r="IU189"/>
      <c r="IV189"/>
      <c r="IW189"/>
      <c r="IX189" s="16"/>
      <c r="IY189" s="16"/>
      <c r="IZ189" s="16"/>
    </row>
    <row r="190" spans="30:260" ht="15.95" customHeight="1">
      <c r="AD190" s="131">
        <v>189</v>
      </c>
      <c r="AE190" s="131"/>
      <c r="AF190" s="131"/>
      <c r="AG190" s="131"/>
      <c r="AP190" s="35" t="b">
        <f t="shared" si="48"/>
        <v>0</v>
      </c>
      <c r="AQ190" s="16">
        <f t="shared" si="49"/>
        <v>189</v>
      </c>
      <c r="AR190" s="16" t="b">
        <f t="shared" si="50"/>
        <v>0</v>
      </c>
      <c r="AS190" s="16" t="b">
        <f t="shared" si="51"/>
        <v>0</v>
      </c>
      <c r="AT190" s="16" t="b">
        <f t="shared" si="52"/>
        <v>0</v>
      </c>
      <c r="AU190" s="16" t="b">
        <f t="shared" si="53"/>
        <v>0</v>
      </c>
      <c r="IL190" s="26">
        <v>8</v>
      </c>
      <c r="IM190" s="14" t="s">
        <v>854</v>
      </c>
      <c r="IN190" s="14" t="s">
        <v>671</v>
      </c>
      <c r="IO190" s="14" t="s">
        <v>674</v>
      </c>
      <c r="IP190" s="14" t="str">
        <f>SUBSTITUTE(IP188,",",".")</f>
        <v>0</v>
      </c>
      <c r="IQ190" s="14" t="str">
        <f>IF(IP188=IP189,". Y"," Y")</f>
        <v>. Y</v>
      </c>
      <c r="IR190" s="14" t="str">
        <f>SUBSTITUTE(IR188,",",".")</f>
        <v>3.375</v>
      </c>
      <c r="IS190" s="14" t="str">
        <f>IF(IR188=IR189,".","")</f>
        <v/>
      </c>
      <c r="IT190" s="14"/>
      <c r="IU190" s="14"/>
      <c r="IV190" s="14"/>
      <c r="IW190" s="14"/>
      <c r="IX190" s="16"/>
      <c r="IY190" s="16"/>
      <c r="IZ190" s="16"/>
    </row>
    <row r="191" spans="30:260" ht="15.95" customHeight="1">
      <c r="AD191" s="131">
        <v>190</v>
      </c>
      <c r="AE191" s="131"/>
      <c r="AF191" s="131"/>
      <c r="AG191" s="131"/>
      <c r="AP191" s="35" t="b">
        <f t="shared" si="48"/>
        <v>0</v>
      </c>
      <c r="AQ191" s="16">
        <f t="shared" si="49"/>
        <v>190</v>
      </c>
      <c r="AR191" s="16" t="b">
        <f t="shared" si="50"/>
        <v>0</v>
      </c>
      <c r="AS191" s="16" t="b">
        <f t="shared" si="51"/>
        <v>0</v>
      </c>
      <c r="AT191" s="16" t="b">
        <f t="shared" si="52"/>
        <v>0</v>
      </c>
      <c r="AU191" s="16" t="b">
        <f t="shared" si="53"/>
        <v>0</v>
      </c>
      <c r="IL191" s="26"/>
      <c r="IM191" s="14"/>
      <c r="IN191" s="14"/>
      <c r="IO191" s="14"/>
      <c r="IP191" s="244">
        <f>$IP$51</f>
        <v>0.313</v>
      </c>
      <c r="IQ191" s="14"/>
      <c r="IR191" s="14"/>
      <c r="IS191" s="14"/>
      <c r="IT191" s="14"/>
      <c r="IU191" s="14"/>
      <c r="IV191" s="14"/>
      <c r="IW191" s="14"/>
      <c r="IX191" s="16"/>
      <c r="IY191" s="16"/>
      <c r="IZ191" s="16"/>
    </row>
    <row r="192" spans="30:260" ht="15.95" customHeight="1">
      <c r="AD192" s="131">
        <v>191</v>
      </c>
      <c r="AE192" s="131"/>
      <c r="AF192" s="131"/>
      <c r="AG192" s="131"/>
      <c r="AP192" s="35" t="b">
        <f t="shared" si="48"/>
        <v>0</v>
      </c>
      <c r="AQ192" s="16">
        <f t="shared" si="49"/>
        <v>191</v>
      </c>
      <c r="AR192" s="16" t="b">
        <f t="shared" si="50"/>
        <v>0</v>
      </c>
      <c r="AS192" s="16" t="b">
        <f t="shared" si="51"/>
        <v>0</v>
      </c>
      <c r="AT192" s="16" t="b">
        <f t="shared" si="52"/>
        <v>0</v>
      </c>
      <c r="AU192" s="16" t="b">
        <f t="shared" si="53"/>
        <v>0</v>
      </c>
      <c r="IL192" s="24"/>
      <c r="IM192" s="14"/>
      <c r="IN192" s="14"/>
      <c r="IO192" s="14"/>
      <c r="IP192" s="102">
        <f>INT(IP191)</f>
        <v>0</v>
      </c>
      <c r="IQ192" s="14"/>
      <c r="IR192"/>
      <c r="IS192"/>
      <c r="IT192"/>
      <c r="IU192"/>
      <c r="IV192"/>
      <c r="IW192"/>
      <c r="IX192" s="16"/>
      <c r="IY192" s="16"/>
      <c r="IZ192" s="16"/>
    </row>
    <row r="193" spans="30:260" ht="15.95" customHeight="1">
      <c r="AD193" s="131">
        <v>192</v>
      </c>
      <c r="AE193" s="131"/>
      <c r="AF193" s="131"/>
      <c r="AG193" s="131"/>
      <c r="AP193" s="35" t="b">
        <f t="shared" si="48"/>
        <v>0</v>
      </c>
      <c r="AQ193" s="16">
        <f t="shared" si="49"/>
        <v>192</v>
      </c>
      <c r="AR193" s="16" t="b">
        <f t="shared" si="50"/>
        <v>0</v>
      </c>
      <c r="AS193" s="16" t="b">
        <f t="shared" si="51"/>
        <v>0</v>
      </c>
      <c r="AT193" s="16" t="b">
        <f t="shared" si="52"/>
        <v>0</v>
      </c>
      <c r="AU193" s="16" t="b">
        <f t="shared" si="53"/>
        <v>0</v>
      </c>
      <c r="IL193" s="26">
        <v>9</v>
      </c>
      <c r="IM193" s="14" t="s">
        <v>446</v>
      </c>
      <c r="IN193" s="14" t="s">
        <v>175</v>
      </c>
      <c r="IO193" s="14" t="s">
        <v>181</v>
      </c>
      <c r="IP193" s="14" t="str">
        <f>SUBSTITUTE(IP191,",",".")</f>
        <v>0.313</v>
      </c>
      <c r="IQ193" s="14" t="str">
        <f>IF(IP191=IP192,".","")</f>
        <v/>
      </c>
      <c r="IR193" s="14"/>
      <c r="IS193" s="14"/>
      <c r="IT193" s="14"/>
      <c r="IU193" s="14"/>
      <c r="IV193" s="14"/>
      <c r="IW193" s="14"/>
      <c r="IX193" s="16"/>
      <c r="IY193" s="16"/>
      <c r="IZ193" s="16"/>
    </row>
    <row r="194" spans="30:260" ht="15.95" customHeight="1">
      <c r="AD194" s="131">
        <v>193</v>
      </c>
      <c r="AE194" s="131"/>
      <c r="AF194" s="131"/>
      <c r="AG194" s="131"/>
      <c r="AP194" s="35" t="b">
        <f t="shared" ref="AP194:AP235" si="54">IF(BP$37&lt;=AE194,AD194)</f>
        <v>0</v>
      </c>
      <c r="AQ194" s="16">
        <f t="shared" ref="AQ194:AQ235" si="55">IF(C$9&gt;=AO194,AD194)</f>
        <v>193</v>
      </c>
      <c r="AR194" s="16" t="b">
        <f t="shared" ref="AR194:AR235" si="56">IF(C$10=AL194,AD194)</f>
        <v>0</v>
      </c>
      <c r="AS194" s="16" t="b">
        <f t="shared" ref="AS194:AS235" si="57">IF(C$11&lt;=AM194,AD194)</f>
        <v>0</v>
      </c>
      <c r="AT194" s="16" t="b">
        <f t="shared" ref="AT194:AT235" si="58">IF(AG194=BL$10,AD194)</f>
        <v>0</v>
      </c>
      <c r="AU194" s="16" t="b">
        <f t="shared" ref="AU194:AU235" si="59">IF(AP194=FALSE,FALSE,IF(AQ194=FALSE,FALSE,IF(AR194=FALSE,FALSE,IF(AS194=FALSE,FALSE,IF(AT194=FALSE,FALSE,AD194)))))</f>
        <v>0</v>
      </c>
    </row>
    <row r="195" spans="30:260" ht="15.95" customHeight="1">
      <c r="AD195" s="131">
        <v>194</v>
      </c>
      <c r="AE195" s="131"/>
      <c r="AF195" s="131"/>
      <c r="AG195" s="131"/>
      <c r="AP195" s="35" t="b">
        <f t="shared" si="54"/>
        <v>0</v>
      </c>
      <c r="AQ195" s="16">
        <f t="shared" si="55"/>
        <v>194</v>
      </c>
      <c r="AR195" s="16" t="b">
        <f t="shared" si="56"/>
        <v>0</v>
      </c>
      <c r="AS195" s="16" t="b">
        <f t="shared" si="57"/>
        <v>0</v>
      </c>
      <c r="AT195" s="16" t="b">
        <f t="shared" si="58"/>
        <v>0</v>
      </c>
      <c r="AU195" s="16" t="b">
        <f t="shared" si="59"/>
        <v>0</v>
      </c>
    </row>
    <row r="196" spans="30:260" ht="15.95" customHeight="1">
      <c r="AD196" s="131">
        <v>195</v>
      </c>
      <c r="AE196" s="131"/>
      <c r="AF196" s="131"/>
      <c r="AG196" s="131"/>
      <c r="AP196" s="35" t="b">
        <f t="shared" si="54"/>
        <v>0</v>
      </c>
      <c r="AQ196" s="16">
        <f t="shared" si="55"/>
        <v>195</v>
      </c>
      <c r="AR196" s="16" t="b">
        <f t="shared" si="56"/>
        <v>0</v>
      </c>
      <c r="AS196" s="16" t="b">
        <f t="shared" si="57"/>
        <v>0</v>
      </c>
      <c r="AT196" s="16" t="b">
        <f t="shared" si="58"/>
        <v>0</v>
      </c>
      <c r="AU196" s="16" t="b">
        <f t="shared" si="59"/>
        <v>0</v>
      </c>
    </row>
    <row r="197" spans="30:260" ht="15.95" customHeight="1">
      <c r="AD197" s="131">
        <v>196</v>
      </c>
      <c r="AE197" s="131"/>
      <c r="AF197" s="131"/>
      <c r="AG197" s="131"/>
      <c r="AP197" s="35" t="b">
        <f t="shared" si="54"/>
        <v>0</v>
      </c>
      <c r="AQ197" s="16">
        <f t="shared" si="55"/>
        <v>196</v>
      </c>
      <c r="AR197" s="16" t="b">
        <f t="shared" si="56"/>
        <v>0</v>
      </c>
      <c r="AS197" s="16" t="b">
        <f t="shared" si="57"/>
        <v>0</v>
      </c>
      <c r="AT197" s="16" t="b">
        <f t="shared" si="58"/>
        <v>0</v>
      </c>
      <c r="AU197" s="16" t="b">
        <f t="shared" si="59"/>
        <v>0</v>
      </c>
    </row>
    <row r="198" spans="30:260" ht="15.95" customHeight="1">
      <c r="AD198" s="131">
        <v>197</v>
      </c>
      <c r="AE198" s="131"/>
      <c r="AF198" s="131"/>
      <c r="AG198" s="131"/>
      <c r="AP198" s="35" t="b">
        <f t="shared" si="54"/>
        <v>0</v>
      </c>
      <c r="AQ198" s="16">
        <f t="shared" si="55"/>
        <v>197</v>
      </c>
      <c r="AR198" s="16" t="b">
        <f t="shared" si="56"/>
        <v>0</v>
      </c>
      <c r="AS198" s="16" t="b">
        <f t="shared" si="57"/>
        <v>0</v>
      </c>
      <c r="AT198" s="16" t="b">
        <f t="shared" si="58"/>
        <v>0</v>
      </c>
      <c r="AU198" s="16" t="b">
        <f t="shared" si="59"/>
        <v>0</v>
      </c>
    </row>
    <row r="199" spans="30:260" ht="15.95" customHeight="1">
      <c r="AD199" s="131">
        <v>198</v>
      </c>
      <c r="AE199" s="131"/>
      <c r="AF199" s="131"/>
      <c r="AG199" s="131"/>
      <c r="AP199" s="35" t="b">
        <f t="shared" si="54"/>
        <v>0</v>
      </c>
      <c r="AQ199" s="16">
        <f t="shared" si="55"/>
        <v>198</v>
      </c>
      <c r="AR199" s="16" t="b">
        <f t="shared" si="56"/>
        <v>0</v>
      </c>
      <c r="AS199" s="16" t="b">
        <f t="shared" si="57"/>
        <v>0</v>
      </c>
      <c r="AT199" s="16" t="b">
        <f t="shared" si="58"/>
        <v>0</v>
      </c>
      <c r="AU199" s="16" t="b">
        <f t="shared" si="59"/>
        <v>0</v>
      </c>
    </row>
    <row r="200" spans="30:260" ht="15.95" customHeight="1">
      <c r="AD200" s="131">
        <v>199</v>
      </c>
      <c r="AE200" s="131"/>
      <c r="AF200" s="131"/>
      <c r="AG200" s="131"/>
      <c r="AP200" s="35" t="b">
        <f t="shared" si="54"/>
        <v>0</v>
      </c>
      <c r="AQ200" s="16">
        <f t="shared" si="55"/>
        <v>199</v>
      </c>
      <c r="AR200" s="16" t="b">
        <f t="shared" si="56"/>
        <v>0</v>
      </c>
      <c r="AS200" s="16" t="b">
        <f t="shared" si="57"/>
        <v>0</v>
      </c>
      <c r="AT200" s="16" t="b">
        <f t="shared" si="58"/>
        <v>0</v>
      </c>
      <c r="AU200" s="16" t="b">
        <f t="shared" si="59"/>
        <v>0</v>
      </c>
    </row>
    <row r="201" spans="30:260" ht="15.95" customHeight="1">
      <c r="AD201" s="131">
        <v>200</v>
      </c>
      <c r="AE201" s="131"/>
      <c r="AF201" s="131"/>
      <c r="AG201" s="131"/>
      <c r="AP201" s="35" t="b">
        <f t="shared" si="54"/>
        <v>0</v>
      </c>
      <c r="AQ201" s="16">
        <f t="shared" si="55"/>
        <v>200</v>
      </c>
      <c r="AR201" s="16" t="b">
        <f t="shared" si="56"/>
        <v>0</v>
      </c>
      <c r="AS201" s="16" t="b">
        <f t="shared" si="57"/>
        <v>0</v>
      </c>
      <c r="AT201" s="16" t="b">
        <f t="shared" si="58"/>
        <v>0</v>
      </c>
      <c r="AU201" s="16" t="b">
        <f t="shared" si="59"/>
        <v>0</v>
      </c>
    </row>
    <row r="202" spans="30:260" ht="15.95" customHeight="1">
      <c r="AD202" s="131">
        <v>201</v>
      </c>
      <c r="AE202" s="131"/>
      <c r="AF202" s="131"/>
      <c r="AG202" s="131"/>
      <c r="AP202" s="35" t="b">
        <f t="shared" si="54"/>
        <v>0</v>
      </c>
      <c r="AQ202" s="16">
        <f t="shared" si="55"/>
        <v>201</v>
      </c>
      <c r="AR202" s="16" t="b">
        <f t="shared" si="56"/>
        <v>0</v>
      </c>
      <c r="AS202" s="16" t="b">
        <f t="shared" si="57"/>
        <v>0</v>
      </c>
      <c r="AT202" s="16" t="b">
        <f t="shared" si="58"/>
        <v>0</v>
      </c>
      <c r="AU202" s="16" t="b">
        <f t="shared" si="59"/>
        <v>0</v>
      </c>
    </row>
    <row r="203" spans="30:260" ht="15.95" customHeight="1">
      <c r="AD203" s="131">
        <v>202</v>
      </c>
      <c r="AE203" s="131"/>
      <c r="AF203" s="131"/>
      <c r="AG203" s="131"/>
      <c r="AP203" s="35" t="b">
        <f t="shared" si="54"/>
        <v>0</v>
      </c>
      <c r="AQ203" s="16">
        <f t="shared" si="55"/>
        <v>202</v>
      </c>
      <c r="AR203" s="16" t="b">
        <f t="shared" si="56"/>
        <v>0</v>
      </c>
      <c r="AS203" s="16" t="b">
        <f t="shared" si="57"/>
        <v>0</v>
      </c>
      <c r="AT203" s="16" t="b">
        <f t="shared" si="58"/>
        <v>0</v>
      </c>
      <c r="AU203" s="16" t="b">
        <f t="shared" si="59"/>
        <v>0</v>
      </c>
    </row>
    <row r="204" spans="30:260" ht="15.95" customHeight="1">
      <c r="AD204" s="131">
        <v>203</v>
      </c>
      <c r="AE204" s="131"/>
      <c r="AF204" s="131"/>
      <c r="AG204" s="131"/>
      <c r="AP204" s="35" t="b">
        <f t="shared" si="54"/>
        <v>0</v>
      </c>
      <c r="AQ204" s="16">
        <f t="shared" si="55"/>
        <v>203</v>
      </c>
      <c r="AR204" s="16" t="b">
        <f t="shared" si="56"/>
        <v>0</v>
      </c>
      <c r="AS204" s="16" t="b">
        <f t="shared" si="57"/>
        <v>0</v>
      </c>
      <c r="AT204" s="16" t="b">
        <f t="shared" si="58"/>
        <v>0</v>
      </c>
      <c r="AU204" s="16" t="b">
        <f t="shared" si="59"/>
        <v>0</v>
      </c>
    </row>
    <row r="205" spans="30:260" ht="15.95" customHeight="1">
      <c r="AD205" s="131">
        <v>204</v>
      </c>
      <c r="AE205" s="131"/>
      <c r="AF205" s="131"/>
      <c r="AG205" s="131"/>
      <c r="AP205" s="35" t="b">
        <f t="shared" si="54"/>
        <v>0</v>
      </c>
      <c r="AQ205" s="16">
        <f t="shared" si="55"/>
        <v>204</v>
      </c>
      <c r="AR205" s="16" t="b">
        <f t="shared" si="56"/>
        <v>0</v>
      </c>
      <c r="AS205" s="16" t="b">
        <f t="shared" si="57"/>
        <v>0</v>
      </c>
      <c r="AT205" s="16" t="b">
        <f t="shared" si="58"/>
        <v>0</v>
      </c>
      <c r="AU205" s="16" t="b">
        <f t="shared" si="59"/>
        <v>0</v>
      </c>
    </row>
    <row r="206" spans="30:260" ht="15.95" customHeight="1">
      <c r="AD206" s="131">
        <v>205</v>
      </c>
      <c r="AE206" s="131"/>
      <c r="AF206" s="131"/>
      <c r="AG206" s="131"/>
      <c r="AP206" s="35" t="b">
        <f t="shared" si="54"/>
        <v>0</v>
      </c>
      <c r="AQ206" s="16">
        <f t="shared" si="55"/>
        <v>205</v>
      </c>
      <c r="AR206" s="16" t="b">
        <f t="shared" si="56"/>
        <v>0</v>
      </c>
      <c r="AS206" s="16" t="b">
        <f t="shared" si="57"/>
        <v>0</v>
      </c>
      <c r="AT206" s="16" t="b">
        <f t="shared" si="58"/>
        <v>0</v>
      </c>
      <c r="AU206" s="16" t="b">
        <f t="shared" si="59"/>
        <v>0</v>
      </c>
    </row>
    <row r="207" spans="30:260" ht="15.95" customHeight="1">
      <c r="AD207" s="131">
        <v>206</v>
      </c>
      <c r="AE207" s="131"/>
      <c r="AF207" s="131"/>
      <c r="AG207" s="131"/>
      <c r="AP207" s="35" t="b">
        <f t="shared" si="54"/>
        <v>0</v>
      </c>
      <c r="AQ207" s="16">
        <f t="shared" si="55"/>
        <v>206</v>
      </c>
      <c r="AR207" s="16" t="b">
        <f t="shared" si="56"/>
        <v>0</v>
      </c>
      <c r="AS207" s="16" t="b">
        <f t="shared" si="57"/>
        <v>0</v>
      </c>
      <c r="AT207" s="16" t="b">
        <f t="shared" si="58"/>
        <v>0</v>
      </c>
      <c r="AU207" s="16" t="b">
        <f t="shared" si="59"/>
        <v>0</v>
      </c>
    </row>
    <row r="208" spans="30:260" ht="15.95" customHeight="1">
      <c r="AD208" s="131">
        <v>207</v>
      </c>
      <c r="AE208" s="131"/>
      <c r="AF208" s="131"/>
      <c r="AG208" s="131"/>
      <c r="AP208" s="35" t="b">
        <f t="shared" si="54"/>
        <v>0</v>
      </c>
      <c r="AQ208" s="16">
        <f t="shared" si="55"/>
        <v>207</v>
      </c>
      <c r="AR208" s="16" t="b">
        <f t="shared" si="56"/>
        <v>0</v>
      </c>
      <c r="AS208" s="16" t="b">
        <f t="shared" si="57"/>
        <v>0</v>
      </c>
      <c r="AT208" s="16" t="b">
        <f t="shared" si="58"/>
        <v>0</v>
      </c>
      <c r="AU208" s="16" t="b">
        <f t="shared" si="59"/>
        <v>0</v>
      </c>
    </row>
    <row r="209" spans="30:47" ht="15.95" customHeight="1">
      <c r="AD209" s="131">
        <v>208</v>
      </c>
      <c r="AE209" s="131"/>
      <c r="AF209" s="131"/>
      <c r="AG209" s="131"/>
      <c r="AP209" s="35" t="b">
        <f t="shared" si="54"/>
        <v>0</v>
      </c>
      <c r="AQ209" s="16">
        <f t="shared" si="55"/>
        <v>208</v>
      </c>
      <c r="AR209" s="16" t="b">
        <f t="shared" si="56"/>
        <v>0</v>
      </c>
      <c r="AS209" s="16" t="b">
        <f t="shared" si="57"/>
        <v>0</v>
      </c>
      <c r="AT209" s="16" t="b">
        <f t="shared" si="58"/>
        <v>0</v>
      </c>
      <c r="AU209" s="16" t="b">
        <f t="shared" si="59"/>
        <v>0</v>
      </c>
    </row>
    <row r="210" spans="30:47" ht="15.95" customHeight="1">
      <c r="AD210" s="131">
        <v>209</v>
      </c>
      <c r="AE210" s="131"/>
      <c r="AF210" s="131"/>
      <c r="AG210" s="131"/>
      <c r="AP210" s="35" t="b">
        <f t="shared" si="54"/>
        <v>0</v>
      </c>
      <c r="AQ210" s="16">
        <f t="shared" si="55"/>
        <v>209</v>
      </c>
      <c r="AR210" s="16" t="b">
        <f t="shared" si="56"/>
        <v>0</v>
      </c>
      <c r="AS210" s="16" t="b">
        <f t="shared" si="57"/>
        <v>0</v>
      </c>
      <c r="AT210" s="16" t="b">
        <f t="shared" si="58"/>
        <v>0</v>
      </c>
      <c r="AU210" s="16" t="b">
        <f t="shared" si="59"/>
        <v>0</v>
      </c>
    </row>
    <row r="211" spans="30:47" ht="15.95" customHeight="1">
      <c r="AD211" s="131">
        <v>210</v>
      </c>
      <c r="AE211" s="131"/>
      <c r="AF211" s="131"/>
      <c r="AG211" s="131"/>
      <c r="AP211" s="35" t="b">
        <f t="shared" si="54"/>
        <v>0</v>
      </c>
      <c r="AQ211" s="16">
        <f t="shared" si="55"/>
        <v>210</v>
      </c>
      <c r="AR211" s="16" t="b">
        <f t="shared" si="56"/>
        <v>0</v>
      </c>
      <c r="AS211" s="16" t="b">
        <f t="shared" si="57"/>
        <v>0</v>
      </c>
      <c r="AT211" s="16" t="b">
        <f t="shared" si="58"/>
        <v>0</v>
      </c>
      <c r="AU211" s="16" t="b">
        <f t="shared" si="59"/>
        <v>0</v>
      </c>
    </row>
    <row r="212" spans="30:47" ht="15.95" customHeight="1">
      <c r="AD212" s="131">
        <v>211</v>
      </c>
      <c r="AE212" s="131"/>
      <c r="AF212" s="131"/>
      <c r="AG212" s="131"/>
      <c r="AP212" s="35" t="b">
        <f t="shared" si="54"/>
        <v>0</v>
      </c>
      <c r="AQ212" s="16">
        <f t="shared" si="55"/>
        <v>211</v>
      </c>
      <c r="AR212" s="16" t="b">
        <f t="shared" si="56"/>
        <v>0</v>
      </c>
      <c r="AS212" s="16" t="b">
        <f t="shared" si="57"/>
        <v>0</v>
      </c>
      <c r="AT212" s="16" t="b">
        <f t="shared" si="58"/>
        <v>0</v>
      </c>
      <c r="AU212" s="16" t="b">
        <f t="shared" si="59"/>
        <v>0</v>
      </c>
    </row>
    <row r="213" spans="30:47" ht="15.95" customHeight="1">
      <c r="AD213" s="131">
        <v>212</v>
      </c>
      <c r="AE213" s="131"/>
      <c r="AF213" s="131"/>
      <c r="AG213" s="131"/>
      <c r="AP213" s="35" t="b">
        <f t="shared" si="54"/>
        <v>0</v>
      </c>
      <c r="AQ213" s="16">
        <f t="shared" si="55"/>
        <v>212</v>
      </c>
      <c r="AR213" s="16" t="b">
        <f t="shared" si="56"/>
        <v>0</v>
      </c>
      <c r="AS213" s="16" t="b">
        <f t="shared" si="57"/>
        <v>0</v>
      </c>
      <c r="AT213" s="16" t="b">
        <f t="shared" si="58"/>
        <v>0</v>
      </c>
      <c r="AU213" s="16" t="b">
        <f t="shared" si="59"/>
        <v>0</v>
      </c>
    </row>
    <row r="214" spans="30:47" ht="15.95" customHeight="1">
      <c r="AD214" s="131">
        <v>213</v>
      </c>
      <c r="AE214" s="131"/>
      <c r="AF214" s="131"/>
      <c r="AG214" s="131"/>
      <c r="AP214" s="35" t="b">
        <f t="shared" si="54"/>
        <v>0</v>
      </c>
      <c r="AQ214" s="16">
        <f t="shared" si="55"/>
        <v>213</v>
      </c>
      <c r="AR214" s="16" t="b">
        <f t="shared" si="56"/>
        <v>0</v>
      </c>
      <c r="AS214" s="16" t="b">
        <f t="shared" si="57"/>
        <v>0</v>
      </c>
      <c r="AT214" s="16" t="b">
        <f t="shared" si="58"/>
        <v>0</v>
      </c>
      <c r="AU214" s="16" t="b">
        <f t="shared" si="59"/>
        <v>0</v>
      </c>
    </row>
    <row r="215" spans="30:47" ht="15.95" customHeight="1">
      <c r="AD215" s="131">
        <v>214</v>
      </c>
      <c r="AE215" s="131"/>
      <c r="AF215" s="131"/>
      <c r="AG215" s="131"/>
      <c r="AP215" s="35" t="b">
        <f t="shared" si="54"/>
        <v>0</v>
      </c>
      <c r="AQ215" s="16">
        <f t="shared" si="55"/>
        <v>214</v>
      </c>
      <c r="AR215" s="16" t="b">
        <f t="shared" si="56"/>
        <v>0</v>
      </c>
      <c r="AS215" s="16" t="b">
        <f t="shared" si="57"/>
        <v>0</v>
      </c>
      <c r="AT215" s="16" t="b">
        <f t="shared" si="58"/>
        <v>0</v>
      </c>
      <c r="AU215" s="16" t="b">
        <f t="shared" si="59"/>
        <v>0</v>
      </c>
    </row>
    <row r="216" spans="30:47" ht="15.95" customHeight="1">
      <c r="AD216" s="131">
        <v>215</v>
      </c>
      <c r="AE216" s="131"/>
      <c r="AF216" s="131"/>
      <c r="AG216" s="131"/>
      <c r="AP216" s="35" t="b">
        <f t="shared" si="54"/>
        <v>0</v>
      </c>
      <c r="AQ216" s="16">
        <f t="shared" si="55"/>
        <v>215</v>
      </c>
      <c r="AR216" s="16" t="b">
        <f t="shared" si="56"/>
        <v>0</v>
      </c>
      <c r="AS216" s="16" t="b">
        <f t="shared" si="57"/>
        <v>0</v>
      </c>
      <c r="AT216" s="16" t="b">
        <f t="shared" si="58"/>
        <v>0</v>
      </c>
      <c r="AU216" s="16" t="b">
        <f t="shared" si="59"/>
        <v>0</v>
      </c>
    </row>
    <row r="217" spans="30:47" ht="15.95" customHeight="1">
      <c r="AD217" s="131">
        <v>216</v>
      </c>
      <c r="AE217" s="131"/>
      <c r="AF217" s="131"/>
      <c r="AG217" s="131"/>
      <c r="AP217" s="35" t="b">
        <f t="shared" si="54"/>
        <v>0</v>
      </c>
      <c r="AQ217" s="16">
        <f t="shared" si="55"/>
        <v>216</v>
      </c>
      <c r="AR217" s="16" t="b">
        <f t="shared" si="56"/>
        <v>0</v>
      </c>
      <c r="AS217" s="16" t="b">
        <f t="shared" si="57"/>
        <v>0</v>
      </c>
      <c r="AT217" s="16" t="b">
        <f t="shared" si="58"/>
        <v>0</v>
      </c>
      <c r="AU217" s="16" t="b">
        <f t="shared" si="59"/>
        <v>0</v>
      </c>
    </row>
    <row r="218" spans="30:47" ht="15.95" customHeight="1">
      <c r="AD218" s="131">
        <v>217</v>
      </c>
      <c r="AE218" s="131"/>
      <c r="AF218" s="131"/>
      <c r="AG218" s="131"/>
      <c r="AP218" s="35" t="b">
        <f t="shared" si="54"/>
        <v>0</v>
      </c>
      <c r="AQ218" s="16">
        <f t="shared" si="55"/>
        <v>217</v>
      </c>
      <c r="AR218" s="16" t="b">
        <f t="shared" si="56"/>
        <v>0</v>
      </c>
      <c r="AS218" s="16" t="b">
        <f t="shared" si="57"/>
        <v>0</v>
      </c>
      <c r="AT218" s="16" t="b">
        <f t="shared" si="58"/>
        <v>0</v>
      </c>
      <c r="AU218" s="16" t="b">
        <f t="shared" si="59"/>
        <v>0</v>
      </c>
    </row>
    <row r="219" spans="30:47" ht="15.95" customHeight="1">
      <c r="AD219" s="131">
        <v>218</v>
      </c>
      <c r="AE219" s="131"/>
      <c r="AF219" s="131"/>
      <c r="AG219" s="131"/>
      <c r="AP219" s="35" t="b">
        <f t="shared" si="54"/>
        <v>0</v>
      </c>
      <c r="AQ219" s="16">
        <f t="shared" si="55"/>
        <v>218</v>
      </c>
      <c r="AR219" s="16" t="b">
        <f t="shared" si="56"/>
        <v>0</v>
      </c>
      <c r="AS219" s="16" t="b">
        <f t="shared" si="57"/>
        <v>0</v>
      </c>
      <c r="AT219" s="16" t="b">
        <f t="shared" si="58"/>
        <v>0</v>
      </c>
      <c r="AU219" s="16" t="b">
        <f t="shared" si="59"/>
        <v>0</v>
      </c>
    </row>
    <row r="220" spans="30:47" ht="15.95" customHeight="1">
      <c r="AD220" s="131">
        <v>219</v>
      </c>
      <c r="AE220" s="131"/>
      <c r="AF220" s="131"/>
      <c r="AG220" s="131"/>
      <c r="AP220" s="35" t="b">
        <f t="shared" si="54"/>
        <v>0</v>
      </c>
      <c r="AQ220" s="16">
        <f t="shared" si="55"/>
        <v>219</v>
      </c>
      <c r="AR220" s="16" t="b">
        <f t="shared" si="56"/>
        <v>0</v>
      </c>
      <c r="AS220" s="16" t="b">
        <f t="shared" si="57"/>
        <v>0</v>
      </c>
      <c r="AT220" s="16" t="b">
        <f t="shared" si="58"/>
        <v>0</v>
      </c>
      <c r="AU220" s="16" t="b">
        <f t="shared" si="59"/>
        <v>0</v>
      </c>
    </row>
    <row r="221" spans="30:47" ht="15.95" customHeight="1">
      <c r="AD221" s="131">
        <v>220</v>
      </c>
      <c r="AE221" s="131"/>
      <c r="AF221" s="131"/>
      <c r="AG221" s="131"/>
      <c r="AP221" s="35" t="b">
        <f t="shared" si="54"/>
        <v>0</v>
      </c>
      <c r="AQ221" s="16">
        <f t="shared" si="55"/>
        <v>220</v>
      </c>
      <c r="AR221" s="16" t="b">
        <f t="shared" si="56"/>
        <v>0</v>
      </c>
      <c r="AS221" s="16" t="b">
        <f t="shared" si="57"/>
        <v>0</v>
      </c>
      <c r="AT221" s="16" t="b">
        <f t="shared" si="58"/>
        <v>0</v>
      </c>
      <c r="AU221" s="16" t="b">
        <f t="shared" si="59"/>
        <v>0</v>
      </c>
    </row>
    <row r="222" spans="30:47" ht="15.95" customHeight="1">
      <c r="AD222" s="131">
        <v>221</v>
      </c>
      <c r="AE222" s="131"/>
      <c r="AF222" s="131"/>
      <c r="AG222" s="131"/>
      <c r="AP222" s="35" t="b">
        <f t="shared" si="54"/>
        <v>0</v>
      </c>
      <c r="AQ222" s="16">
        <f t="shared" si="55"/>
        <v>221</v>
      </c>
      <c r="AR222" s="16" t="b">
        <f t="shared" si="56"/>
        <v>0</v>
      </c>
      <c r="AS222" s="16" t="b">
        <f t="shared" si="57"/>
        <v>0</v>
      </c>
      <c r="AT222" s="16" t="b">
        <f t="shared" si="58"/>
        <v>0</v>
      </c>
      <c r="AU222" s="16" t="b">
        <f t="shared" si="59"/>
        <v>0</v>
      </c>
    </row>
    <row r="223" spans="30:47" ht="15.95" customHeight="1">
      <c r="AD223" s="131">
        <v>222</v>
      </c>
      <c r="AE223" s="131"/>
      <c r="AF223" s="131"/>
      <c r="AG223" s="131"/>
      <c r="AP223" s="35" t="b">
        <f t="shared" si="54"/>
        <v>0</v>
      </c>
      <c r="AQ223" s="16">
        <f t="shared" si="55"/>
        <v>222</v>
      </c>
      <c r="AR223" s="16" t="b">
        <f t="shared" si="56"/>
        <v>0</v>
      </c>
      <c r="AS223" s="16" t="b">
        <f t="shared" si="57"/>
        <v>0</v>
      </c>
      <c r="AT223" s="16" t="b">
        <f t="shared" si="58"/>
        <v>0</v>
      </c>
      <c r="AU223" s="16" t="b">
        <f t="shared" si="59"/>
        <v>0</v>
      </c>
    </row>
    <row r="224" spans="30:47" ht="15.95" customHeight="1">
      <c r="AD224" s="131">
        <v>223</v>
      </c>
      <c r="AE224" s="131"/>
      <c r="AF224" s="131"/>
      <c r="AG224" s="131"/>
      <c r="AP224" s="35" t="b">
        <f t="shared" si="54"/>
        <v>0</v>
      </c>
      <c r="AQ224" s="16">
        <f t="shared" si="55"/>
        <v>223</v>
      </c>
      <c r="AR224" s="16" t="b">
        <f t="shared" si="56"/>
        <v>0</v>
      </c>
      <c r="AS224" s="16" t="b">
        <f t="shared" si="57"/>
        <v>0</v>
      </c>
      <c r="AT224" s="16" t="b">
        <f t="shared" si="58"/>
        <v>0</v>
      </c>
      <c r="AU224" s="16" t="b">
        <f t="shared" si="59"/>
        <v>0</v>
      </c>
    </row>
    <row r="225" spans="30:47" ht="15.95" customHeight="1">
      <c r="AD225" s="131">
        <v>224</v>
      </c>
      <c r="AE225" s="131"/>
      <c r="AF225" s="131"/>
      <c r="AG225" s="131"/>
      <c r="AP225" s="35" t="b">
        <f t="shared" si="54"/>
        <v>0</v>
      </c>
      <c r="AQ225" s="16">
        <f t="shared" si="55"/>
        <v>224</v>
      </c>
      <c r="AR225" s="16" t="b">
        <f t="shared" si="56"/>
        <v>0</v>
      </c>
      <c r="AS225" s="16" t="b">
        <f t="shared" si="57"/>
        <v>0</v>
      </c>
      <c r="AT225" s="16" t="b">
        <f t="shared" si="58"/>
        <v>0</v>
      </c>
      <c r="AU225" s="16" t="b">
        <f t="shared" si="59"/>
        <v>0</v>
      </c>
    </row>
    <row r="226" spans="30:47" ht="15.95" customHeight="1">
      <c r="AD226" s="131">
        <v>225</v>
      </c>
      <c r="AE226" s="131"/>
      <c r="AF226" s="131"/>
      <c r="AG226" s="131"/>
      <c r="AP226" s="35" t="b">
        <f t="shared" si="54"/>
        <v>0</v>
      </c>
      <c r="AQ226" s="16">
        <f t="shared" si="55"/>
        <v>225</v>
      </c>
      <c r="AR226" s="16" t="b">
        <f t="shared" si="56"/>
        <v>0</v>
      </c>
      <c r="AS226" s="16" t="b">
        <f t="shared" si="57"/>
        <v>0</v>
      </c>
      <c r="AT226" s="16" t="b">
        <f t="shared" si="58"/>
        <v>0</v>
      </c>
      <c r="AU226" s="16" t="b">
        <f t="shared" si="59"/>
        <v>0</v>
      </c>
    </row>
    <row r="227" spans="30:47" ht="15.95" customHeight="1">
      <c r="AD227" s="131">
        <v>226</v>
      </c>
      <c r="AE227" s="131"/>
      <c r="AF227" s="131"/>
      <c r="AG227" s="131"/>
      <c r="AP227" s="35" t="b">
        <f t="shared" si="54"/>
        <v>0</v>
      </c>
      <c r="AQ227" s="16">
        <f t="shared" si="55"/>
        <v>226</v>
      </c>
      <c r="AR227" s="16" t="b">
        <f t="shared" si="56"/>
        <v>0</v>
      </c>
      <c r="AS227" s="16" t="b">
        <f t="shared" si="57"/>
        <v>0</v>
      </c>
      <c r="AT227" s="16" t="b">
        <f t="shared" si="58"/>
        <v>0</v>
      </c>
      <c r="AU227" s="16" t="b">
        <f t="shared" si="59"/>
        <v>0</v>
      </c>
    </row>
    <row r="228" spans="30:47" ht="15.95" customHeight="1">
      <c r="AD228" s="131">
        <v>227</v>
      </c>
      <c r="AE228" s="131"/>
      <c r="AF228" s="131"/>
      <c r="AG228" s="131"/>
      <c r="AP228" s="35" t="b">
        <f t="shared" si="54"/>
        <v>0</v>
      </c>
      <c r="AQ228" s="16">
        <f t="shared" si="55"/>
        <v>227</v>
      </c>
      <c r="AR228" s="16" t="b">
        <f t="shared" si="56"/>
        <v>0</v>
      </c>
      <c r="AS228" s="16" t="b">
        <f t="shared" si="57"/>
        <v>0</v>
      </c>
      <c r="AT228" s="16" t="b">
        <f t="shared" si="58"/>
        <v>0</v>
      </c>
      <c r="AU228" s="16" t="b">
        <f t="shared" si="59"/>
        <v>0</v>
      </c>
    </row>
    <row r="229" spans="30:47" ht="15.95" customHeight="1">
      <c r="AD229" s="131">
        <v>228</v>
      </c>
      <c r="AE229" s="131"/>
      <c r="AF229" s="131"/>
      <c r="AG229" s="131"/>
      <c r="AP229" s="35" t="b">
        <f t="shared" si="54"/>
        <v>0</v>
      </c>
      <c r="AQ229" s="16">
        <f t="shared" si="55"/>
        <v>228</v>
      </c>
      <c r="AR229" s="16" t="b">
        <f t="shared" si="56"/>
        <v>0</v>
      </c>
      <c r="AS229" s="16" t="b">
        <f t="shared" si="57"/>
        <v>0</v>
      </c>
      <c r="AT229" s="16" t="b">
        <f t="shared" si="58"/>
        <v>0</v>
      </c>
      <c r="AU229" s="16" t="b">
        <f t="shared" si="59"/>
        <v>0</v>
      </c>
    </row>
    <row r="230" spans="30:47" ht="15.95" customHeight="1">
      <c r="AD230" s="131">
        <v>229</v>
      </c>
      <c r="AE230" s="131"/>
      <c r="AF230" s="131"/>
      <c r="AG230" s="131"/>
      <c r="AP230" s="35" t="b">
        <f t="shared" si="54"/>
        <v>0</v>
      </c>
      <c r="AQ230" s="16">
        <f t="shared" si="55"/>
        <v>229</v>
      </c>
      <c r="AR230" s="16" t="b">
        <f t="shared" si="56"/>
        <v>0</v>
      </c>
      <c r="AS230" s="16" t="b">
        <f t="shared" si="57"/>
        <v>0</v>
      </c>
      <c r="AT230" s="16" t="b">
        <f t="shared" si="58"/>
        <v>0</v>
      </c>
      <c r="AU230" s="16" t="b">
        <f t="shared" si="59"/>
        <v>0</v>
      </c>
    </row>
    <row r="231" spans="30:47" ht="15.95" customHeight="1">
      <c r="AD231" s="131">
        <v>230</v>
      </c>
      <c r="AE231" s="131"/>
      <c r="AF231" s="131"/>
      <c r="AG231" s="131"/>
      <c r="AP231" s="35" t="b">
        <f t="shared" si="54"/>
        <v>0</v>
      </c>
      <c r="AQ231" s="16">
        <f t="shared" si="55"/>
        <v>230</v>
      </c>
      <c r="AR231" s="16" t="b">
        <f t="shared" si="56"/>
        <v>0</v>
      </c>
      <c r="AS231" s="16" t="b">
        <f t="shared" si="57"/>
        <v>0</v>
      </c>
      <c r="AT231" s="16" t="b">
        <f t="shared" si="58"/>
        <v>0</v>
      </c>
      <c r="AU231" s="16" t="b">
        <f t="shared" si="59"/>
        <v>0</v>
      </c>
    </row>
    <row r="232" spans="30:47" ht="15.95" customHeight="1">
      <c r="AD232" s="131">
        <v>231</v>
      </c>
      <c r="AE232" s="131"/>
      <c r="AF232" s="131"/>
      <c r="AG232" s="131"/>
      <c r="AP232" s="35" t="b">
        <f t="shared" si="54"/>
        <v>0</v>
      </c>
      <c r="AQ232" s="16">
        <f t="shared" si="55"/>
        <v>231</v>
      </c>
      <c r="AR232" s="16" t="b">
        <f t="shared" si="56"/>
        <v>0</v>
      </c>
      <c r="AS232" s="16" t="b">
        <f t="shared" si="57"/>
        <v>0</v>
      </c>
      <c r="AT232" s="16" t="b">
        <f t="shared" si="58"/>
        <v>0</v>
      </c>
      <c r="AU232" s="16" t="b">
        <f t="shared" si="59"/>
        <v>0</v>
      </c>
    </row>
    <row r="233" spans="30:47" ht="15.95" customHeight="1">
      <c r="AD233" s="131">
        <v>232</v>
      </c>
      <c r="AE233" s="131"/>
      <c r="AF233" s="131"/>
      <c r="AG233" s="131"/>
      <c r="AP233" s="35" t="b">
        <f t="shared" si="54"/>
        <v>0</v>
      </c>
      <c r="AQ233" s="16">
        <f t="shared" si="55"/>
        <v>232</v>
      </c>
      <c r="AR233" s="16" t="b">
        <f t="shared" si="56"/>
        <v>0</v>
      </c>
      <c r="AS233" s="16" t="b">
        <f t="shared" si="57"/>
        <v>0</v>
      </c>
      <c r="AT233" s="16" t="b">
        <f t="shared" si="58"/>
        <v>0</v>
      </c>
      <c r="AU233" s="16" t="b">
        <f t="shared" si="59"/>
        <v>0</v>
      </c>
    </row>
    <row r="234" spans="30:47" ht="15.95" customHeight="1">
      <c r="AD234" s="131">
        <v>233</v>
      </c>
      <c r="AE234" s="131"/>
      <c r="AF234" s="131"/>
      <c r="AG234" s="131"/>
      <c r="AP234" s="35" t="b">
        <f t="shared" si="54"/>
        <v>0</v>
      </c>
      <c r="AQ234" s="16">
        <f t="shared" si="55"/>
        <v>233</v>
      </c>
      <c r="AR234" s="16" t="b">
        <f t="shared" si="56"/>
        <v>0</v>
      </c>
      <c r="AS234" s="16" t="b">
        <f t="shared" si="57"/>
        <v>0</v>
      </c>
      <c r="AT234" s="16" t="b">
        <f t="shared" si="58"/>
        <v>0</v>
      </c>
      <c r="AU234" s="16" t="b">
        <f t="shared" si="59"/>
        <v>0</v>
      </c>
    </row>
    <row r="235" spans="30:47" ht="15.95" customHeight="1">
      <c r="AD235" s="131">
        <v>234</v>
      </c>
      <c r="AE235" s="131"/>
      <c r="AF235" s="131"/>
      <c r="AG235" s="131"/>
      <c r="AP235" s="35" t="b">
        <f t="shared" si="54"/>
        <v>0</v>
      </c>
      <c r="AQ235" s="16">
        <f t="shared" si="55"/>
        <v>234</v>
      </c>
      <c r="AR235" s="16" t="b">
        <f t="shared" si="56"/>
        <v>0</v>
      </c>
      <c r="AS235" s="16" t="b">
        <f t="shared" si="57"/>
        <v>0</v>
      </c>
      <c r="AT235" s="16" t="b">
        <f t="shared" si="58"/>
        <v>0</v>
      </c>
      <c r="AU235" s="16" t="b">
        <f t="shared" si="59"/>
        <v>0</v>
      </c>
    </row>
    <row r="236" spans="30:47" ht="15.95" customHeight="1">
      <c r="AD236" s="131"/>
      <c r="AE236" s="131"/>
      <c r="AF236" s="131"/>
      <c r="AG236" s="131"/>
    </row>
    <row r="237" spans="30:47" ht="15.95" customHeight="1">
      <c r="AD237" s="131"/>
      <c r="AE237" s="131"/>
      <c r="AF237" s="131"/>
      <c r="AG237" s="131"/>
    </row>
    <row r="238" spans="30:47" ht="15.95" customHeight="1">
      <c r="AD238" s="131"/>
      <c r="AE238" s="131"/>
      <c r="AF238" s="131"/>
      <c r="AG238" s="131"/>
    </row>
    <row r="239" spans="30:47" ht="15.95" customHeight="1">
      <c r="AD239" s="131"/>
      <c r="AE239" s="131"/>
      <c r="AF239" s="131"/>
      <c r="AG239" s="131"/>
    </row>
  </sheetData>
  <sheetProtection password="C5D1" sheet="1" objects="1" scenarios="1"/>
  <protectedRanges>
    <protectedRange sqref="D27" name="범위1"/>
  </protectedRanges>
  <mergeCells count="5">
    <mergeCell ref="BH60:BH65"/>
    <mergeCell ref="BH54:BH56"/>
    <mergeCell ref="BH51:BH52"/>
    <mergeCell ref="BA44:BF44"/>
    <mergeCell ref="B1:F2"/>
  </mergeCells>
  <phoneticPr fontId="4"/>
  <conditionalFormatting sqref="C22:C27">
    <cfRule type="expression" dxfId="1" priority="1" stopIfTrue="1">
      <formula>AND(D22&gt;0)</formula>
    </cfRule>
  </conditionalFormatting>
  <hyperlinks>
    <hyperlink ref="B34" location="INFO!A1" display="INFO!A1" xr:uid="{00000000-0004-0000-0000-000000000000}"/>
  </hyperlinks>
  <printOptions horizontalCentered="1"/>
  <pageMargins left="0.39370078740157483" right="0.39370078740157483" top="0.39370078740157483" bottom="0.39370078740157483" header="0" footer="0"/>
  <pageSetup paperSize="9" scale="85" orientation="landscape" r:id="rId1"/>
  <headerFooter alignWithMargins="0"/>
  <cellWatches>
    <cellWatch r="B71"/>
  </cellWatches>
  <drawing r:id="rId2"/>
  <legacyDrawing r:id="rId3"/>
  <mc:AlternateContent xmlns:mc="http://schemas.openxmlformats.org/markup-compatibility/2006">
    <mc:Choice Requires="x14">
      <controls>
        <mc:AlternateContent xmlns:mc="http://schemas.openxmlformats.org/markup-compatibility/2006">
          <mc:Choice Requires="x14">
            <control shapeId="5121" r:id="rId4" name="Drop Down 1">
              <controlPr defaultSize="0" autoLine="0" autoPict="0">
                <anchor moveWithCells="1">
                  <from>
                    <xdr:col>1</xdr:col>
                    <xdr:colOff>0</xdr:colOff>
                    <xdr:row>6</xdr:row>
                    <xdr:rowOff>123825</xdr:rowOff>
                  </from>
                  <to>
                    <xdr:col>3</xdr:col>
                    <xdr:colOff>0</xdr:colOff>
                    <xdr:row>7</xdr:row>
                    <xdr:rowOff>142875</xdr:rowOff>
                  </to>
                </anchor>
              </controlPr>
            </control>
          </mc:Choice>
        </mc:AlternateContent>
        <mc:AlternateContent xmlns:mc="http://schemas.openxmlformats.org/markup-compatibility/2006">
          <mc:Choice Requires="x14">
            <control shapeId="5122" r:id="rId5" name="Drop Down 2">
              <controlPr defaultSize="0" autoLine="0" autoPict="0">
                <anchor moveWithCells="1">
                  <from>
                    <xdr:col>1</xdr:col>
                    <xdr:colOff>0</xdr:colOff>
                    <xdr:row>12</xdr:row>
                    <xdr:rowOff>152400</xdr:rowOff>
                  </from>
                  <to>
                    <xdr:col>3</xdr:col>
                    <xdr:colOff>0</xdr:colOff>
                    <xdr:row>13</xdr:row>
                    <xdr:rowOff>171450</xdr:rowOff>
                  </to>
                </anchor>
              </controlPr>
            </control>
          </mc:Choice>
        </mc:AlternateContent>
        <mc:AlternateContent xmlns:mc="http://schemas.openxmlformats.org/markup-compatibility/2006">
          <mc:Choice Requires="x14">
            <control shapeId="5123" r:id="rId6" name="Drop Down 3">
              <controlPr defaultSize="0" autoLine="0" autoPict="0">
                <anchor moveWithCells="1">
                  <from>
                    <xdr:col>1</xdr:col>
                    <xdr:colOff>0</xdr:colOff>
                    <xdr:row>14</xdr:row>
                    <xdr:rowOff>57150</xdr:rowOff>
                  </from>
                  <to>
                    <xdr:col>3</xdr:col>
                    <xdr:colOff>0</xdr:colOff>
                    <xdr:row>15</xdr:row>
                    <xdr:rowOff>76200</xdr:rowOff>
                  </to>
                </anchor>
              </controlPr>
            </control>
          </mc:Choice>
        </mc:AlternateContent>
        <mc:AlternateContent xmlns:mc="http://schemas.openxmlformats.org/markup-compatibility/2006">
          <mc:Choice Requires="x14">
            <control shapeId="5124" r:id="rId7" name="Drop Down 4">
              <controlPr defaultSize="0" autoLine="0" autoPict="0">
                <anchor moveWithCells="1">
                  <from>
                    <xdr:col>5</xdr:col>
                    <xdr:colOff>504825</xdr:colOff>
                    <xdr:row>3</xdr:row>
                    <xdr:rowOff>104775</xdr:rowOff>
                  </from>
                  <to>
                    <xdr:col>5</xdr:col>
                    <xdr:colOff>1962150</xdr:colOff>
                    <xdr:row>4</xdr:row>
                    <xdr:rowOff>123825</xdr:rowOff>
                  </to>
                </anchor>
              </controlPr>
            </control>
          </mc:Choice>
        </mc:AlternateContent>
        <mc:AlternateContent xmlns:mc="http://schemas.openxmlformats.org/markup-compatibility/2006">
          <mc:Choice Requires="x14">
            <control shapeId="5126" r:id="rId8" name="Drop Down 6">
              <controlPr defaultSize="0" autoLine="0" autoPict="0">
                <anchor moveWithCells="1">
                  <from>
                    <xdr:col>1</xdr:col>
                    <xdr:colOff>0</xdr:colOff>
                    <xdr:row>5</xdr:row>
                    <xdr:rowOff>9525</xdr:rowOff>
                  </from>
                  <to>
                    <xdr:col>3</xdr:col>
                    <xdr:colOff>0</xdr:colOff>
                    <xdr:row>6</xdr:row>
                    <xdr:rowOff>28575</xdr:rowOff>
                  </to>
                </anchor>
              </controlPr>
            </control>
          </mc:Choice>
        </mc:AlternateContent>
        <mc:AlternateContent xmlns:mc="http://schemas.openxmlformats.org/markup-compatibility/2006">
          <mc:Choice Requires="x14">
            <control shapeId="11734" r:id="rId9" name="Drop Down 1494">
              <controlPr defaultSize="0" autoLine="0" autoPict="0">
                <anchor moveWithCells="1">
                  <from>
                    <xdr:col>1</xdr:col>
                    <xdr:colOff>9525</xdr:colOff>
                    <xdr:row>3</xdr:row>
                    <xdr:rowOff>95250</xdr:rowOff>
                  </from>
                  <to>
                    <xdr:col>3</xdr:col>
                    <xdr:colOff>9525</xdr:colOff>
                    <xdr:row>4</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GD239"/>
  <sheetViews>
    <sheetView showGridLines="0" showRowColHeaders="0" zoomScaleNormal="100" zoomScaleSheetLayoutView="100" workbookViewId="0">
      <selection activeCell="C33" sqref="C33"/>
    </sheetView>
  </sheetViews>
  <sheetFormatPr defaultColWidth="8.125" defaultRowHeight="15.95" customHeight="1"/>
  <cols>
    <col min="1" max="1" width="2.75" customWidth="1"/>
    <col min="2" max="2" width="37.75" customWidth="1"/>
    <col min="3" max="3" width="7.875" customWidth="1"/>
    <col min="4" max="4" width="7.25" customWidth="1"/>
    <col min="5" max="5" width="2.875" customWidth="1"/>
    <col min="6" max="6" width="27.875" style="5" customWidth="1"/>
    <col min="7" max="7" width="41.875" style="5" customWidth="1"/>
    <col min="8" max="8" width="11.875" hidden="1" customWidth="1"/>
    <col min="9" max="9" width="37.875" style="5" hidden="1" customWidth="1"/>
    <col min="10" max="10" width="23.75" style="5" hidden="1" customWidth="1"/>
    <col min="11" max="11" width="24.875" style="5" hidden="1" customWidth="1"/>
    <col min="12" max="12" width="16.25" style="5" hidden="1" customWidth="1"/>
    <col min="13" max="13" width="9.25" style="5" hidden="1" customWidth="1"/>
    <col min="14" max="14" width="9.375" style="5" hidden="1" customWidth="1"/>
    <col min="15" max="15" width="13" style="5" hidden="1" customWidth="1"/>
    <col min="16" max="16" width="11.625" style="5" hidden="1" customWidth="1"/>
    <col min="17" max="17" width="16.375" style="5" hidden="1" customWidth="1"/>
    <col min="18" max="28" width="19.5" style="5" hidden="1" customWidth="1"/>
    <col min="29" max="29" width="9" hidden="1" customWidth="1"/>
    <col min="30" max="30" width="9" style="4" hidden="1" customWidth="1"/>
    <col min="31" max="31" width="5.375" style="4" hidden="1" customWidth="1"/>
    <col min="32" max="32" width="6.25" style="4" hidden="1" customWidth="1"/>
    <col min="33" max="33" width="8" style="4" hidden="1" customWidth="1"/>
    <col min="34" max="34" width="26" hidden="1" customWidth="1"/>
    <col min="35" max="38" width="6.25" hidden="1" customWidth="1"/>
    <col min="39" max="39" width="7.5" hidden="1" customWidth="1"/>
    <col min="40" max="40" width="5.625" hidden="1" customWidth="1"/>
    <col min="41" max="41" width="12" hidden="1" customWidth="1"/>
    <col min="42" max="42" width="8.875" style="35" hidden="1" customWidth="1"/>
    <col min="43" max="43" width="10.125" style="16" hidden="1" customWidth="1"/>
    <col min="44" max="45" width="9" style="16" hidden="1" customWidth="1"/>
    <col min="46" max="46" width="11.75" style="16" hidden="1" customWidth="1"/>
    <col min="47" max="47" width="9" style="16" hidden="1" customWidth="1"/>
    <col min="48" max="49" width="9" hidden="1" customWidth="1"/>
    <col min="50" max="50" width="27.125" hidden="1" customWidth="1"/>
    <col min="51" max="51" width="9" hidden="1" customWidth="1"/>
    <col min="52" max="52" width="28.5" hidden="1" customWidth="1"/>
    <col min="53" max="53" width="9" hidden="1" customWidth="1"/>
    <col min="54" max="54" width="7.25" hidden="1" customWidth="1"/>
    <col min="55" max="56" width="9.125" hidden="1" customWidth="1"/>
    <col min="57" max="57" width="10.5" hidden="1" customWidth="1"/>
    <col min="58" max="59" width="9" hidden="1" customWidth="1"/>
    <col min="60" max="60" width="11.75" hidden="1" customWidth="1"/>
    <col min="61" max="61" width="9" hidden="1" customWidth="1"/>
    <col min="62" max="62" width="11.75" hidden="1" customWidth="1"/>
    <col min="63" max="63" width="12.625" hidden="1" customWidth="1"/>
    <col min="64" max="64" width="11" hidden="1" customWidth="1"/>
    <col min="65" max="65" width="7.875" hidden="1" customWidth="1"/>
    <col min="66" max="66" width="7.25" hidden="1" customWidth="1"/>
    <col min="67" max="67" width="13" hidden="1" customWidth="1"/>
    <col min="68" max="68" width="9" style="16" hidden="1" customWidth="1"/>
    <col min="69" max="69" width="10.125" hidden="1" customWidth="1"/>
    <col min="70" max="70" width="9" hidden="1" customWidth="1"/>
    <col min="71" max="71" width="12" hidden="1" customWidth="1"/>
    <col min="72" max="74" width="10.875" hidden="1" customWidth="1"/>
    <col min="75" max="75" width="35.625" style="54" hidden="1" customWidth="1"/>
    <col min="76" max="76" width="35.625" style="23" hidden="1" customWidth="1"/>
    <col min="77" max="77" width="34.5" style="23" hidden="1" customWidth="1"/>
    <col min="78" max="78" width="34" style="23" hidden="1" customWidth="1"/>
    <col min="79" max="80" width="31.25" style="23" hidden="1" customWidth="1"/>
    <col min="81" max="81" width="32.75" style="4" hidden="1" customWidth="1"/>
    <col min="82" max="82" width="31.25" style="23" hidden="1" customWidth="1"/>
    <col min="83" max="83" width="39.875" style="23" hidden="1" customWidth="1"/>
    <col min="84" max="84" width="43.75" style="23" hidden="1" customWidth="1"/>
    <col min="85" max="85" width="41.625" style="23" hidden="1" customWidth="1"/>
    <col min="86" max="86" width="35.625" style="23" hidden="1" customWidth="1"/>
    <col min="87" max="87" width="38.25" style="23" hidden="1" customWidth="1"/>
    <col min="88" max="88" width="43.375" style="23" hidden="1" customWidth="1"/>
    <col min="89" max="89" width="38.25" style="23" hidden="1" customWidth="1"/>
    <col min="90" max="90" width="8.125" style="24" hidden="1" customWidth="1"/>
    <col min="91" max="91" width="15.125" hidden="1" customWidth="1"/>
    <col min="92" max="101" width="8.125" hidden="1" customWidth="1"/>
    <col min="102" max="104" width="8.125" style="16" hidden="1" customWidth="1"/>
    <col min="105" max="105" width="8.125" style="25" hidden="1" customWidth="1"/>
    <col min="106" max="106" width="11" style="16" hidden="1" customWidth="1"/>
    <col min="107" max="116" width="8.125" style="16" hidden="1" customWidth="1"/>
    <col min="117" max="119" width="8.125" hidden="1" customWidth="1"/>
    <col min="120" max="120" width="8.125" style="24" hidden="1" customWidth="1"/>
    <col min="121" max="121" width="11.375" style="53" hidden="1" customWidth="1"/>
    <col min="122" max="122" width="8.125" style="53" hidden="1" customWidth="1"/>
    <col min="123" max="123" width="8.375" style="53" hidden="1" customWidth="1"/>
    <col min="124" max="124" width="8.125" style="53" hidden="1" customWidth="1"/>
    <col min="125" max="125" width="8.125" style="24" hidden="1" customWidth="1"/>
    <col min="126" max="129" width="8.125" hidden="1" customWidth="1"/>
    <col min="130" max="130" width="8.125" style="15" hidden="1" customWidth="1"/>
    <col min="131" max="134" width="8.125" style="14" hidden="1" customWidth="1"/>
    <col min="135" max="135" width="5.25" style="15" hidden="1" customWidth="1"/>
    <col min="136" max="148" width="8.125" style="14" hidden="1" customWidth="1"/>
    <col min="149" max="149" width="8.125" style="15" hidden="1" customWidth="1"/>
    <col min="150" max="162" width="8.125" style="14" hidden="1" customWidth="1"/>
    <col min="163" max="163" width="8.125" style="24" hidden="1" customWidth="1"/>
    <col min="164" max="164" width="15.125" hidden="1" customWidth="1"/>
    <col min="165" max="166" width="8.125" hidden="1" customWidth="1"/>
    <col min="167" max="167" width="8.75" hidden="1" customWidth="1"/>
    <col min="168" max="171" width="8.125" hidden="1" customWidth="1"/>
    <col min="172" max="172" width="8.125" style="24" hidden="1" customWidth="1"/>
    <col min="173" max="173" width="15.125" hidden="1" customWidth="1"/>
    <col min="174" max="175" width="8.125" hidden="1" customWidth="1"/>
    <col min="176" max="176" width="8.875" hidden="1" customWidth="1"/>
    <col min="177" max="180" width="8.125" hidden="1" customWidth="1"/>
    <col min="181" max="181" width="8.125" style="16" hidden="1" customWidth="1"/>
    <col min="182" max="213" width="0" style="14" hidden="1" customWidth="1"/>
    <col min="214" max="16384" width="8.125" style="14"/>
  </cols>
  <sheetData>
    <row r="1" spans="1:181" ht="15" customHeight="1">
      <c r="A1" s="89"/>
      <c r="B1" s="89"/>
      <c r="C1" s="89"/>
      <c r="D1" s="89"/>
      <c r="E1" s="89"/>
      <c r="F1" s="90"/>
      <c r="G1" s="87"/>
      <c r="J1" s="21" t="s">
        <v>1317</v>
      </c>
      <c r="K1" s="21" t="s">
        <v>1316</v>
      </c>
      <c r="L1" s="85" t="s">
        <v>381</v>
      </c>
      <c r="M1" s="21" t="s">
        <v>686</v>
      </c>
      <c r="N1" s="21" t="s">
        <v>1399</v>
      </c>
      <c r="O1" s="21" t="s">
        <v>1306</v>
      </c>
      <c r="P1" s="21" t="s">
        <v>1307</v>
      </c>
      <c r="Q1" s="21" t="s">
        <v>1304</v>
      </c>
      <c r="R1" s="21" t="s">
        <v>1308</v>
      </c>
      <c r="S1" s="21" t="s">
        <v>1309</v>
      </c>
      <c r="T1" s="21" t="s">
        <v>1305</v>
      </c>
      <c r="U1" s="21" t="s">
        <v>1112</v>
      </c>
      <c r="V1" s="21" t="s">
        <v>687</v>
      </c>
      <c r="W1" s="21" t="s">
        <v>621</v>
      </c>
      <c r="X1" s="21" t="s">
        <v>216</v>
      </c>
      <c r="Y1" s="44" t="s">
        <v>1449</v>
      </c>
      <c r="Z1" s="21" t="s">
        <v>570</v>
      </c>
      <c r="AA1" s="48" t="s">
        <v>1330</v>
      </c>
      <c r="AB1" s="21" t="s">
        <v>685</v>
      </c>
      <c r="AD1" s="3" t="s">
        <v>717</v>
      </c>
      <c r="AE1" s="3" t="s">
        <v>669</v>
      </c>
      <c r="AF1" s="3" t="s">
        <v>791</v>
      </c>
      <c r="AG1" s="3" t="s">
        <v>1038</v>
      </c>
      <c r="AH1" s="1" t="s">
        <v>617</v>
      </c>
      <c r="AI1" s="2" t="s">
        <v>618</v>
      </c>
      <c r="AJ1" s="2" t="s">
        <v>619</v>
      </c>
      <c r="AK1" s="2" t="s">
        <v>620</v>
      </c>
      <c r="AL1" s="2" t="s">
        <v>1373</v>
      </c>
      <c r="AM1" s="2" t="s">
        <v>1374</v>
      </c>
      <c r="AN1" s="2" t="s">
        <v>1375</v>
      </c>
      <c r="AO1" s="133" t="s">
        <v>1238</v>
      </c>
      <c r="AP1" s="34" t="s">
        <v>442</v>
      </c>
      <c r="AQ1" s="85" t="s">
        <v>1239</v>
      </c>
      <c r="AR1" s="85" t="s">
        <v>1240</v>
      </c>
      <c r="AS1" s="85" t="s">
        <v>1241</v>
      </c>
      <c r="AT1" s="85" t="s">
        <v>1242</v>
      </c>
      <c r="AU1" s="85" t="s">
        <v>1243</v>
      </c>
      <c r="AZ1" s="21" t="s">
        <v>441</v>
      </c>
      <c r="BA1" s="56"/>
      <c r="BB1" s="57"/>
      <c r="BC1" s="57"/>
      <c r="BD1" s="57"/>
      <c r="BE1" s="56"/>
      <c r="BF1" s="58"/>
      <c r="CM1" s="22" t="s">
        <v>127</v>
      </c>
      <c r="FH1" s="22" t="s">
        <v>443</v>
      </c>
      <c r="FQ1" s="179" t="s">
        <v>730</v>
      </c>
    </row>
    <row r="2" spans="1:181" ht="15.95" customHeight="1">
      <c r="A2" s="89"/>
      <c r="B2" s="439" t="s">
        <v>1564</v>
      </c>
      <c r="C2" s="440"/>
      <c r="D2" s="440"/>
      <c r="E2" s="440"/>
      <c r="F2" s="440"/>
      <c r="G2" s="95" t="str">
        <f>LOOKUP(BT5,H82:H88,I82:I88)</f>
        <v>CNC program for Fanuc</v>
      </c>
      <c r="J2" s="8">
        <v>1</v>
      </c>
      <c r="K2" s="8">
        <v>2</v>
      </c>
      <c r="L2" s="8">
        <v>3</v>
      </c>
      <c r="M2" s="8">
        <v>4</v>
      </c>
      <c r="N2" s="8">
        <v>5</v>
      </c>
      <c r="O2" s="8">
        <v>6</v>
      </c>
      <c r="P2" s="8">
        <v>7</v>
      </c>
      <c r="Q2" s="8">
        <v>8</v>
      </c>
      <c r="R2" s="8">
        <v>9</v>
      </c>
      <c r="S2" s="8">
        <v>10</v>
      </c>
      <c r="T2" s="8">
        <v>11</v>
      </c>
      <c r="U2" s="8">
        <v>12</v>
      </c>
      <c r="V2" s="8">
        <v>13</v>
      </c>
      <c r="W2" s="8">
        <v>14</v>
      </c>
      <c r="X2" s="8">
        <v>15</v>
      </c>
      <c r="Y2" s="8">
        <v>16</v>
      </c>
      <c r="Z2" s="8">
        <v>17</v>
      </c>
      <c r="AA2" s="8">
        <v>18</v>
      </c>
      <c r="AB2" s="8">
        <v>19</v>
      </c>
      <c r="AD2" s="131">
        <v>1</v>
      </c>
      <c r="AE2" s="262">
        <v>1</v>
      </c>
      <c r="AF2" s="262">
        <v>1</v>
      </c>
      <c r="AG2" s="262">
        <v>1</v>
      </c>
      <c r="AH2" s="263" t="s">
        <v>1500</v>
      </c>
      <c r="AI2" s="249">
        <v>0.625</v>
      </c>
      <c r="AJ2" s="249">
        <v>0.62</v>
      </c>
      <c r="AK2" s="250">
        <v>4</v>
      </c>
      <c r="AL2" s="264">
        <v>3</v>
      </c>
      <c r="AM2" s="249">
        <v>1.375</v>
      </c>
      <c r="AN2" s="252">
        <v>4</v>
      </c>
      <c r="AO2" s="265">
        <v>0.92913385826771666</v>
      </c>
      <c r="AP2" s="55">
        <f t="shared" ref="AP2:AP65" si="0">IF(BP$37&lt;=AE2,AD2)</f>
        <v>1</v>
      </c>
      <c r="AQ2" s="16" t="b">
        <f t="shared" ref="AQ2:AQ65" si="1">IF(C$9&gt;=AO2,AD2)</f>
        <v>0</v>
      </c>
      <c r="AR2" s="16" t="b">
        <f t="shared" ref="AR2:AR65" si="2">IF(C$10=AL2,AD2)</f>
        <v>0</v>
      </c>
      <c r="AS2" s="16">
        <f t="shared" ref="AS2:AS65" si="3">IF(C$11&lt;=AM2,AD2)</f>
        <v>1</v>
      </c>
      <c r="AT2" s="16" t="b">
        <f t="shared" ref="AT2:AT65" si="4">IF(AG2=BL$10,AD2)</f>
        <v>0</v>
      </c>
      <c r="AU2" s="16" t="b">
        <f t="shared" ref="AU2:AU65" si="5">IF(AP2=FALSE,FALSE,IF(AQ2=FALSE,FALSE,IF(AR2=FALSE,FALSE,IF(AS2=FALSE,FALSE,IF(AT2=FALSE,FALSE,AD2)))))</f>
        <v>0</v>
      </c>
      <c r="AV2">
        <f>LOOKUP(9999,AU$2:AU$235)</f>
        <v>35</v>
      </c>
      <c r="AW2">
        <f t="shared" ref="AW2:AW21" si="6">AV2-1</f>
        <v>34</v>
      </c>
      <c r="AX2" t="str">
        <f t="shared" ref="AX2:AX21" si="7">LOOKUP(AV2,AD$2:AD$235,AH$2:AH$235)</f>
        <v>UN0285C0750  16TPI  TE480</v>
      </c>
      <c r="AY2" t="b">
        <f t="shared" ref="AY2:AY21" si="8">ISNA(AX2)</f>
        <v>0</v>
      </c>
      <c r="AZ2" t="str">
        <f t="shared" ref="AZ2:AZ21" si="9">IF(AY2=FALSE,AX2,"")</f>
        <v>UN0285C0750  16TPI  TE480</v>
      </c>
      <c r="BA2" s="59">
        <v>2</v>
      </c>
      <c r="BB2" s="7" t="s">
        <v>554</v>
      </c>
      <c r="BC2" s="7" t="s">
        <v>1561</v>
      </c>
      <c r="BD2" s="7" t="s">
        <v>1562</v>
      </c>
      <c r="BE2" s="74" t="s">
        <v>554</v>
      </c>
      <c r="BF2" s="60" t="s">
        <v>555</v>
      </c>
      <c r="BH2" s="8"/>
      <c r="BI2" s="8"/>
      <c r="BX2" s="8">
        <v>0</v>
      </c>
      <c r="BY2" s="8">
        <v>11</v>
      </c>
      <c r="BZ2" s="8">
        <v>21</v>
      </c>
      <c r="CA2" s="8">
        <v>111</v>
      </c>
      <c r="CB2" s="8">
        <v>121</v>
      </c>
      <c r="CC2" s="8">
        <v>1011</v>
      </c>
      <c r="CD2" s="8">
        <v>1021</v>
      </c>
      <c r="CE2" s="8">
        <v>10011</v>
      </c>
      <c r="CF2" s="8">
        <v>10021</v>
      </c>
      <c r="CG2" s="8">
        <v>100011</v>
      </c>
      <c r="CH2" s="8">
        <v>100021</v>
      </c>
      <c r="CI2" s="8">
        <v>110011</v>
      </c>
      <c r="CJ2" s="8">
        <v>110021</v>
      </c>
      <c r="CK2" s="8">
        <v>200011</v>
      </c>
      <c r="FH2" s="22" t="s">
        <v>444</v>
      </c>
      <c r="FQ2" s="22"/>
    </row>
    <row r="3" spans="1:181" ht="15.95" customHeight="1">
      <c r="A3" s="89"/>
      <c r="B3" s="440"/>
      <c r="C3" s="440"/>
      <c r="D3" s="440"/>
      <c r="E3" s="440"/>
      <c r="F3" s="440"/>
      <c r="G3" s="87" t="str">
        <f>IF(BW3=0,"",BW3)</f>
        <v>G90 G00 G57 X0. Y0.</v>
      </c>
      <c r="I3" s="5" t="str">
        <f>LOOKUP(H$27,J$2:AB$2,J3:AB3)</f>
        <v>☞ Internal Thread Milling in Machining Center</v>
      </c>
      <c r="J3" s="136" t="s">
        <v>1244</v>
      </c>
      <c r="K3" s="136" t="s">
        <v>1245</v>
      </c>
      <c r="L3" s="40" t="s">
        <v>1246</v>
      </c>
      <c r="M3" s="5" t="s">
        <v>266</v>
      </c>
      <c r="N3" s="5" t="s">
        <v>1437</v>
      </c>
      <c r="O3" s="5" t="s">
        <v>1332</v>
      </c>
      <c r="P3" s="5" t="s">
        <v>1062</v>
      </c>
      <c r="Q3" s="5" t="s">
        <v>1116</v>
      </c>
      <c r="R3" s="5" t="s">
        <v>500</v>
      </c>
      <c r="S3" s="5" t="s">
        <v>1257</v>
      </c>
      <c r="T3" s="5" t="s">
        <v>1441</v>
      </c>
      <c r="U3" s="5" t="s">
        <v>1284</v>
      </c>
      <c r="V3" s="5" t="s">
        <v>571</v>
      </c>
      <c r="W3" s="5" t="s">
        <v>590</v>
      </c>
      <c r="X3" s="38" t="s">
        <v>399</v>
      </c>
      <c r="Y3" s="43" t="s">
        <v>792</v>
      </c>
      <c r="Z3" s="39" t="s">
        <v>793</v>
      </c>
      <c r="AA3" s="45" t="s">
        <v>794</v>
      </c>
      <c r="AB3" s="5" t="s">
        <v>1091</v>
      </c>
      <c r="AD3" s="131">
        <v>2</v>
      </c>
      <c r="AE3" s="262">
        <v>1</v>
      </c>
      <c r="AF3" s="262">
        <v>1</v>
      </c>
      <c r="AG3" s="262">
        <v>1</v>
      </c>
      <c r="AH3" s="263" t="s">
        <v>1501</v>
      </c>
      <c r="AI3" s="249">
        <v>0.5</v>
      </c>
      <c r="AJ3" s="249">
        <v>0.495</v>
      </c>
      <c r="AK3" s="250">
        <v>4</v>
      </c>
      <c r="AL3" s="264">
        <v>2.5</v>
      </c>
      <c r="AM3" s="249">
        <v>1.25</v>
      </c>
      <c r="AN3" s="252">
        <v>3.5</v>
      </c>
      <c r="AO3" s="265">
        <v>0.77165354330708669</v>
      </c>
      <c r="AP3" s="55">
        <f t="shared" si="0"/>
        <v>2</v>
      </c>
      <c r="AQ3" s="16" t="b">
        <f t="shared" si="1"/>
        <v>0</v>
      </c>
      <c r="AR3" s="16" t="b">
        <f t="shared" si="2"/>
        <v>0</v>
      </c>
      <c r="AS3" s="16">
        <f t="shared" si="3"/>
        <v>2</v>
      </c>
      <c r="AT3" s="16" t="b">
        <f t="shared" si="4"/>
        <v>0</v>
      </c>
      <c r="AU3" s="16" t="b">
        <f t="shared" si="5"/>
        <v>0</v>
      </c>
      <c r="AV3" t="e">
        <f t="shared" ref="AV3:AV21" si="10">LOOKUP(AW2,AU$2:AU$235)</f>
        <v>#N/A</v>
      </c>
      <c r="AW3" t="e">
        <f t="shared" si="6"/>
        <v>#N/A</v>
      </c>
      <c r="AX3" t="e">
        <f t="shared" si="7"/>
        <v>#N/A</v>
      </c>
      <c r="AY3" t="b">
        <f t="shared" si="8"/>
        <v>1</v>
      </c>
      <c r="AZ3" t="str">
        <f t="shared" si="9"/>
        <v/>
      </c>
      <c r="BA3" s="61">
        <v>1</v>
      </c>
      <c r="BB3" s="157">
        <v>330</v>
      </c>
      <c r="BC3" s="272">
        <v>1.6000000000000001E-3</v>
      </c>
      <c r="BD3" s="272">
        <v>2.8E-3</v>
      </c>
      <c r="BE3" s="115">
        <f>LOOKUP(BA2,BA3:BA32,BB3:BB32)</f>
        <v>295</v>
      </c>
      <c r="BF3" s="280">
        <f>IF(BE13&gt;0.3125,LOOKUP(BA2,BA3:BA32,BD3:BD32),LOOKUP(BA2,BA3:BA32,BC3:BC32))</f>
        <v>1.1999999999999999E-3</v>
      </c>
      <c r="BH3" s="11"/>
      <c r="BI3" s="10"/>
      <c r="BK3" s="72"/>
      <c r="BL3" s="319">
        <f>C10</f>
        <v>16</v>
      </c>
      <c r="BM3" s="318">
        <f>C10</f>
        <v>16</v>
      </c>
      <c r="BV3" s="8">
        <v>1</v>
      </c>
      <c r="BW3" s="54" t="str">
        <f>LOOKUP(BT$54,BX$2:CK$2,BX3:CK3)</f>
        <v>G90 G00 G57 X0. Y0.</v>
      </c>
      <c r="BY3" s="23" t="str">
        <f>CONCATENATE(CM3,CN3,CO3,CP3,CQ3,CR3,CS3,CT3,CU3,CV3,CW3,CX3,CY3,CZ3)</f>
        <v>G90 G00 G57 X0. Y0.</v>
      </c>
      <c r="BZ3" s="23" t="str">
        <f>BY3</f>
        <v>G90 G00 G57 X0. Y0.</v>
      </c>
      <c r="CA3" s="23" t="str">
        <f>BY3</f>
        <v>G90 G00 G57 X0. Y0.</v>
      </c>
      <c r="CB3" s="23" t="str">
        <f>BZ3</f>
        <v>G90 G00 G57 X0. Y0.</v>
      </c>
      <c r="CC3" s="4" t="str">
        <f>BY3</f>
        <v>G90 G00 G57 X0. Y0.</v>
      </c>
      <c r="CD3" s="23" t="str">
        <f>BZ3</f>
        <v>G90 G00 G57 X0. Y0.</v>
      </c>
      <c r="CE3" s="23" t="str">
        <f>BY3</f>
        <v>G90 G00 G57 X0. Y0.</v>
      </c>
      <c r="CF3" s="23" t="str">
        <f>BZ3</f>
        <v>G90 G00 G57 X0. Y0.</v>
      </c>
      <c r="CG3" s="23" t="str">
        <f>CA3</f>
        <v>G90 G00 G57 X0. Y0.</v>
      </c>
      <c r="CH3" s="23" t="str">
        <f>BZ3</f>
        <v>G90 G00 G57 X0. Y0.</v>
      </c>
      <c r="CI3" s="23" t="str">
        <f>CE3</f>
        <v>G90 G00 G57 X0. Y0.</v>
      </c>
      <c r="CJ3" s="23" t="str">
        <f>CF3</f>
        <v>G90 G00 G57 X0. Y0.</v>
      </c>
      <c r="CK3" s="23" t="str">
        <f>CONCATENATE(FQ3,FR3,FS3,FT3,FU3,FV3,FW3,FX3,FY3,FZ3,GA3,GB3,GC3,GD3)</f>
        <v>G90 G00 G57 X0. Y0.</v>
      </c>
      <c r="CL3" s="26">
        <v>1</v>
      </c>
      <c r="CM3" s="14" t="s">
        <v>446</v>
      </c>
      <c r="CN3" s="14" t="s">
        <v>175</v>
      </c>
      <c r="CO3" s="14" t="s">
        <v>176</v>
      </c>
      <c r="CP3" s="14" t="s">
        <v>1350</v>
      </c>
      <c r="CQ3" s="14" t="s">
        <v>1351</v>
      </c>
      <c r="CR3" s="8"/>
      <c r="CS3" s="14"/>
      <c r="CT3" s="14"/>
      <c r="CU3" s="14"/>
      <c r="CV3" s="14"/>
      <c r="CW3" s="14"/>
      <c r="FG3" s="26"/>
      <c r="FH3" s="14"/>
      <c r="FI3" s="14"/>
      <c r="FJ3" s="14"/>
      <c r="FK3" s="14"/>
      <c r="FL3" s="14"/>
      <c r="FM3" s="8"/>
      <c r="FN3" s="14"/>
      <c r="FO3" s="14"/>
      <c r="FP3" s="26">
        <v>1</v>
      </c>
      <c r="FQ3" s="14" t="s">
        <v>446</v>
      </c>
      <c r="FR3" s="14" t="s">
        <v>175</v>
      </c>
      <c r="FS3" s="14" t="s">
        <v>176</v>
      </c>
      <c r="FT3" s="14" t="s">
        <v>1350</v>
      </c>
      <c r="FU3" s="14" t="s">
        <v>1351</v>
      </c>
      <c r="FV3" s="8"/>
      <c r="FW3" s="14"/>
      <c r="FX3" s="14"/>
    </row>
    <row r="4" spans="1:181" ht="15.95" customHeight="1">
      <c r="A4" s="89"/>
      <c r="B4" s="144" t="str">
        <f>I3</f>
        <v>☞ Internal Thread Milling in Machining Center</v>
      </c>
      <c r="C4" s="89"/>
      <c r="D4" s="89"/>
      <c r="E4" s="89"/>
      <c r="F4" s="90"/>
      <c r="G4" s="87" t="str">
        <f>IF(BW6=0,"",BW6)</f>
        <v>G43 H10 Z0.15 M3 S3954</v>
      </c>
      <c r="L4" s="40"/>
      <c r="M4" s="5" t="s">
        <v>267</v>
      </c>
      <c r="N4" s="5" t="s">
        <v>1436</v>
      </c>
      <c r="O4" s="5" t="s">
        <v>1333</v>
      </c>
      <c r="P4" s="5" t="s">
        <v>1063</v>
      </c>
      <c r="Q4" s="5" t="s">
        <v>1118</v>
      </c>
      <c r="R4" s="5" t="s">
        <v>501</v>
      </c>
      <c r="S4" s="5" t="s">
        <v>1258</v>
      </c>
      <c r="T4" s="5" t="s">
        <v>1442</v>
      </c>
      <c r="U4" s="5" t="s">
        <v>1285</v>
      </c>
      <c r="V4" s="5" t="s">
        <v>572</v>
      </c>
      <c r="W4" s="5" t="s">
        <v>1358</v>
      </c>
      <c r="X4" s="38" t="s">
        <v>400</v>
      </c>
      <c r="Y4" s="43" t="s">
        <v>795</v>
      </c>
      <c r="Z4" s="39" t="s">
        <v>796</v>
      </c>
      <c r="AA4" s="45" t="s">
        <v>797</v>
      </c>
      <c r="AB4" s="5" t="s">
        <v>1092</v>
      </c>
      <c r="AD4" s="131">
        <v>3</v>
      </c>
      <c r="AE4" s="262">
        <v>1</v>
      </c>
      <c r="AF4" s="262">
        <v>1</v>
      </c>
      <c r="AG4" s="262">
        <v>1</v>
      </c>
      <c r="AH4" s="263" t="s">
        <v>1502</v>
      </c>
      <c r="AI4" s="249">
        <v>0.5</v>
      </c>
      <c r="AJ4" s="249">
        <v>0.49</v>
      </c>
      <c r="AK4" s="250">
        <v>4</v>
      </c>
      <c r="AL4" s="264">
        <v>1.5</v>
      </c>
      <c r="AM4" s="249">
        <v>1.25</v>
      </c>
      <c r="AN4" s="252">
        <v>3.5</v>
      </c>
      <c r="AO4" s="265">
        <v>0.69291338582677175</v>
      </c>
      <c r="AP4" s="55">
        <f t="shared" si="0"/>
        <v>3</v>
      </c>
      <c r="AQ4" s="16" t="b">
        <f t="shared" si="1"/>
        <v>0</v>
      </c>
      <c r="AR4" s="16" t="b">
        <f t="shared" si="2"/>
        <v>0</v>
      </c>
      <c r="AS4" s="16">
        <f t="shared" si="3"/>
        <v>3</v>
      </c>
      <c r="AT4" s="16" t="b">
        <f t="shared" si="4"/>
        <v>0</v>
      </c>
      <c r="AU4" s="16" t="b">
        <f t="shared" si="5"/>
        <v>0</v>
      </c>
      <c r="AV4" t="e">
        <f t="shared" si="10"/>
        <v>#N/A</v>
      </c>
      <c r="AW4" t="e">
        <f t="shared" si="6"/>
        <v>#N/A</v>
      </c>
      <c r="AX4" t="e">
        <f t="shared" si="7"/>
        <v>#N/A</v>
      </c>
      <c r="AY4" t="b">
        <f t="shared" si="8"/>
        <v>1</v>
      </c>
      <c r="AZ4" t="str">
        <f t="shared" si="9"/>
        <v/>
      </c>
      <c r="BA4" s="61">
        <v>2</v>
      </c>
      <c r="BB4" s="157">
        <v>295</v>
      </c>
      <c r="BC4" s="272">
        <v>1.1999999999999999E-3</v>
      </c>
      <c r="BD4" s="272">
        <v>2.3999999999999998E-3</v>
      </c>
      <c r="BE4" s="77"/>
      <c r="BF4" s="63"/>
      <c r="BH4" s="11"/>
      <c r="BI4" s="10"/>
      <c r="BK4" s="74"/>
      <c r="BL4" s="321">
        <f>1/C10</f>
        <v>6.25E-2</v>
      </c>
      <c r="BM4" s="320">
        <f>BM3/25.4</f>
        <v>0.62992125984251968</v>
      </c>
      <c r="BO4" s="7" t="s">
        <v>1374</v>
      </c>
      <c r="BP4" s="16">
        <f>(IF(D23&gt;0,D23,C23))+0.0001</f>
        <v>0.75009999999999999</v>
      </c>
      <c r="CL4" s="26"/>
      <c r="CM4" s="14"/>
      <c r="CN4" s="14"/>
      <c r="CO4" s="14"/>
      <c r="CP4" s="14"/>
      <c r="CQ4" s="14"/>
      <c r="CR4" s="8"/>
      <c r="CS4" s="14"/>
      <c r="CT4" s="14"/>
      <c r="CU4" s="14"/>
      <c r="CV4" s="14"/>
      <c r="CW4" s="14"/>
      <c r="FG4" s="26"/>
      <c r="FH4" s="14"/>
      <c r="FI4" s="14"/>
      <c r="FJ4" s="14"/>
      <c r="FK4" s="14"/>
      <c r="FL4" s="14"/>
      <c r="FM4" s="8"/>
      <c r="FN4" s="14"/>
      <c r="FO4" s="14"/>
      <c r="FP4" s="26"/>
      <c r="FQ4" s="14"/>
      <c r="FR4" s="14"/>
      <c r="FS4" s="14"/>
      <c r="FT4" s="14"/>
      <c r="FU4" s="14"/>
      <c r="FV4" s="8"/>
      <c r="FW4" s="14"/>
      <c r="FX4" s="14"/>
    </row>
    <row r="5" spans="1:181" ht="15.95" customHeight="1">
      <c r="A5" s="89"/>
      <c r="B5" s="144" t="str">
        <f>I7</f>
        <v>☞ Fanuc</v>
      </c>
      <c r="C5" s="89"/>
      <c r="D5" s="89"/>
      <c r="E5" s="89"/>
      <c r="F5" s="90"/>
      <c r="G5" s="87" t="str">
        <f>IF(BW9=0,"",BW9)</f>
        <v>G91 G00 Z-0.9156</v>
      </c>
      <c r="T5" s="5" t="s">
        <v>1443</v>
      </c>
      <c r="X5" s="38"/>
      <c r="AA5" s="46"/>
      <c r="AD5" s="131">
        <v>4</v>
      </c>
      <c r="AE5" s="262">
        <v>1</v>
      </c>
      <c r="AF5" s="262">
        <v>1</v>
      </c>
      <c r="AG5" s="262">
        <v>1</v>
      </c>
      <c r="AH5" s="263" t="s">
        <v>1503</v>
      </c>
      <c r="AI5" s="249">
        <v>0.5</v>
      </c>
      <c r="AJ5" s="249">
        <v>0.47</v>
      </c>
      <c r="AK5" s="250">
        <v>4</v>
      </c>
      <c r="AL5" s="264">
        <v>2</v>
      </c>
      <c r="AM5" s="249">
        <v>1.25</v>
      </c>
      <c r="AN5" s="252">
        <v>3.5</v>
      </c>
      <c r="AO5" s="265">
        <v>0.61417322834645671</v>
      </c>
      <c r="AP5" s="55">
        <f t="shared" si="0"/>
        <v>4</v>
      </c>
      <c r="AQ5" s="16" t="b">
        <f t="shared" si="1"/>
        <v>0</v>
      </c>
      <c r="AR5" s="16" t="b">
        <f t="shared" si="2"/>
        <v>0</v>
      </c>
      <c r="AS5" s="16">
        <f t="shared" si="3"/>
        <v>4</v>
      </c>
      <c r="AT5" s="16" t="b">
        <f t="shared" si="4"/>
        <v>0</v>
      </c>
      <c r="AU5" s="16" t="b">
        <f t="shared" si="5"/>
        <v>0</v>
      </c>
      <c r="AV5" t="e">
        <f t="shared" si="10"/>
        <v>#N/A</v>
      </c>
      <c r="AW5" t="e">
        <f t="shared" si="6"/>
        <v>#N/A</v>
      </c>
      <c r="AX5" t="e">
        <f t="shared" si="7"/>
        <v>#N/A</v>
      </c>
      <c r="AY5" t="b">
        <f t="shared" si="8"/>
        <v>1</v>
      </c>
      <c r="AZ5" t="str">
        <f t="shared" si="9"/>
        <v/>
      </c>
      <c r="BA5" s="61">
        <v>3</v>
      </c>
      <c r="BB5" s="157">
        <v>260</v>
      </c>
      <c r="BC5" s="272">
        <v>1E-3</v>
      </c>
      <c r="BD5" s="272">
        <v>2E-3</v>
      </c>
      <c r="BE5" s="120">
        <f>IF(D25&gt;0,D25,C25)</f>
        <v>295</v>
      </c>
      <c r="BF5" s="63"/>
      <c r="BH5" s="11"/>
      <c r="BI5" s="10"/>
      <c r="BK5" s="74"/>
      <c r="BL5" s="321">
        <f>IF(BL10=1,BM4,BL4)</f>
        <v>6.25E-2</v>
      </c>
      <c r="BM5" s="65"/>
      <c r="BO5" s="7" t="s">
        <v>713</v>
      </c>
      <c r="BP5" s="16">
        <f>BP4/BL6</f>
        <v>12.0016</v>
      </c>
      <c r="BQ5" s="86"/>
      <c r="BS5" s="83" t="s">
        <v>380</v>
      </c>
      <c r="BT5" s="36">
        <v>1</v>
      </c>
      <c r="CL5" s="26"/>
      <c r="CM5" s="5"/>
      <c r="CN5" s="14"/>
      <c r="CO5" s="14"/>
      <c r="CP5" s="333">
        <f>C12</f>
        <v>0.15</v>
      </c>
      <c r="CQ5" s="103">
        <f>INT(CP5)</f>
        <v>0</v>
      </c>
      <c r="CR5" s="8"/>
      <c r="CS5" s="14"/>
      <c r="CT5" s="14"/>
      <c r="CU5" s="14"/>
      <c r="CV5" s="14"/>
      <c r="CW5" s="14"/>
      <c r="DA5" s="26"/>
      <c r="DB5" s="22" t="s">
        <v>705</v>
      </c>
      <c r="DC5" s="8"/>
      <c r="DD5" s="8"/>
      <c r="DE5" s="8"/>
      <c r="DF5" s="8"/>
      <c r="DG5" s="8"/>
      <c r="DH5" s="14"/>
      <c r="DI5" s="14"/>
      <c r="DJ5" s="14"/>
      <c r="DK5" s="14"/>
      <c r="DL5" s="14"/>
      <c r="DM5" s="16"/>
      <c r="DN5" s="16"/>
      <c r="DO5" s="16"/>
      <c r="DQ5" s="52" t="s">
        <v>602</v>
      </c>
      <c r="DV5" s="248" t="s">
        <v>731</v>
      </c>
      <c r="EA5" s="248" t="s">
        <v>1416</v>
      </c>
      <c r="EF5" s="22" t="s">
        <v>1327</v>
      </c>
      <c r="ET5" s="22" t="s">
        <v>1328</v>
      </c>
      <c r="FG5" s="26"/>
      <c r="FH5" s="5"/>
      <c r="FI5" s="14"/>
      <c r="FJ5" s="14"/>
      <c r="FK5" s="114"/>
      <c r="FL5" s="103"/>
      <c r="FM5" s="8"/>
      <c r="FN5" s="14"/>
      <c r="FO5" s="14"/>
      <c r="FP5" s="26"/>
      <c r="FQ5" s="5"/>
      <c r="FR5" s="14"/>
      <c r="FS5" s="14"/>
      <c r="FT5" s="334">
        <f>C12</f>
        <v>0.15</v>
      </c>
      <c r="FU5" s="114"/>
      <c r="FV5" s="8"/>
      <c r="FW5" s="14"/>
      <c r="FX5" s="14"/>
    </row>
    <row r="6" spans="1:181" ht="15.95" customHeight="1">
      <c r="A6" s="89"/>
      <c r="B6" s="89"/>
      <c r="C6" s="89"/>
      <c r="D6" s="89"/>
      <c r="E6" s="89"/>
      <c r="F6" s="90"/>
      <c r="G6" s="88" t="str">
        <f>IF(BW12=0,"",BW12)</f>
        <v>G41 D10 X0. Y-0,1563 F2,3</v>
      </c>
      <c r="X6" s="38"/>
      <c r="AA6" s="46"/>
      <c r="AD6" s="131">
        <v>5</v>
      </c>
      <c r="AE6" s="262">
        <v>1</v>
      </c>
      <c r="AF6" s="262">
        <v>1</v>
      </c>
      <c r="AG6" s="262">
        <v>1</v>
      </c>
      <c r="AH6" s="263" t="s">
        <v>1504</v>
      </c>
      <c r="AI6" s="249">
        <v>0.375</v>
      </c>
      <c r="AJ6" s="249">
        <v>0.37</v>
      </c>
      <c r="AK6" s="250">
        <v>4</v>
      </c>
      <c r="AL6" s="264">
        <v>1.5</v>
      </c>
      <c r="AM6" s="249">
        <v>0.875</v>
      </c>
      <c r="AN6" s="252">
        <v>3.5</v>
      </c>
      <c r="AO6" s="265">
        <v>0.53543307086614178</v>
      </c>
      <c r="AP6" s="55">
        <f t="shared" si="0"/>
        <v>5</v>
      </c>
      <c r="AQ6" s="16" t="b">
        <f t="shared" si="1"/>
        <v>0</v>
      </c>
      <c r="AR6" s="16" t="b">
        <f t="shared" si="2"/>
        <v>0</v>
      </c>
      <c r="AS6" s="16">
        <f t="shared" si="3"/>
        <v>5</v>
      </c>
      <c r="AT6" s="16" t="b">
        <f t="shared" si="4"/>
        <v>0</v>
      </c>
      <c r="AU6" s="16" t="b">
        <f t="shared" si="5"/>
        <v>0</v>
      </c>
      <c r="AV6" t="e">
        <f t="shared" si="10"/>
        <v>#N/A</v>
      </c>
      <c r="AW6" t="e">
        <f t="shared" si="6"/>
        <v>#N/A</v>
      </c>
      <c r="AX6" t="e">
        <f t="shared" si="7"/>
        <v>#N/A</v>
      </c>
      <c r="AY6" t="b">
        <f t="shared" si="8"/>
        <v>1</v>
      </c>
      <c r="AZ6" t="str">
        <f t="shared" si="9"/>
        <v/>
      </c>
      <c r="BA6" s="61">
        <v>4</v>
      </c>
      <c r="BB6" s="157">
        <v>295</v>
      </c>
      <c r="BC6" s="272">
        <v>1.1999999999999999E-3</v>
      </c>
      <c r="BD6" s="272">
        <v>2.3999999999999998E-3</v>
      </c>
      <c r="BE6" s="77"/>
      <c r="BF6" s="63"/>
      <c r="BH6" s="11"/>
      <c r="BI6" s="10"/>
      <c r="BK6" s="74" t="s">
        <v>1373</v>
      </c>
      <c r="BL6" s="322">
        <f>ROUND(BL5,5)</f>
        <v>6.25E-2</v>
      </c>
      <c r="BM6" s="65"/>
      <c r="BO6" s="86" t="s">
        <v>798</v>
      </c>
      <c r="BP6" s="18">
        <f>INT(BP5)</f>
        <v>12</v>
      </c>
      <c r="BQ6" s="86"/>
      <c r="BR6" s="16">
        <f>IF(BF29&gt;2,"ERROR",BF29)</f>
        <v>1</v>
      </c>
      <c r="BS6" s="8" t="s">
        <v>379</v>
      </c>
      <c r="BT6" s="14">
        <f>BR6*10</f>
        <v>10</v>
      </c>
      <c r="BU6" s="14"/>
      <c r="BV6" s="8">
        <v>2</v>
      </c>
      <c r="BW6" s="54" t="str">
        <f>LOOKUP(BT$54,BX$2:CK$2,BX6:CK6)</f>
        <v>G43 H10 Z0.15 M3 S3954</v>
      </c>
      <c r="BX6" s="23" t="s">
        <v>122</v>
      </c>
      <c r="BY6" s="23" t="str">
        <f t="shared" ref="BY6:BY69" si="11">CONCATENATE(CM6,CN6,CO6,CP6,CQ6,CR6,CS6,CT6,CU6,CV6,CW6,CX6,CY6,CZ6)</f>
        <v>G43 H10 Z0.15 M3 S3954</v>
      </c>
      <c r="BZ6" s="23" t="str">
        <f>BY6</f>
        <v>G43 H10 Z0.15 M3 S3954</v>
      </c>
      <c r="CA6" s="23" t="str">
        <f>BY6</f>
        <v>G43 H10 Z0.15 M3 S3954</v>
      </c>
      <c r="CB6" s="23" t="str">
        <f>BZ6</f>
        <v>G43 H10 Z0.15 M3 S3954</v>
      </c>
      <c r="CC6" s="23" t="str">
        <f>BY6</f>
        <v>G43 H10 Z0.15 M3 S3954</v>
      </c>
      <c r="CD6" s="23" t="str">
        <f>BZ6</f>
        <v>G43 H10 Z0.15 M3 S3954</v>
      </c>
      <c r="CE6" s="23" t="str">
        <f>BY6</f>
        <v>G43 H10 Z0.15 M3 S3954</v>
      </c>
      <c r="CF6" s="23" t="str">
        <f>BZ6</f>
        <v>G43 H10 Z0.15 M3 S3954</v>
      </c>
      <c r="CG6" s="23" t="str">
        <f>CA6</f>
        <v>G43 H10 Z0.15 M3 S3954</v>
      </c>
      <c r="CH6" s="23" t="str">
        <f>BZ6</f>
        <v>G43 H10 Z0.15 M3 S3954</v>
      </c>
      <c r="CI6" s="23" t="str">
        <f>CE6</f>
        <v>G43 H10 Z0.15 M3 S3954</v>
      </c>
      <c r="CJ6" s="23" t="str">
        <f>CF6</f>
        <v>G43 H10 Z0.15 M3 S3954</v>
      </c>
      <c r="CK6" s="23" t="str">
        <f>CONCATENATE(FQ6,FR6,FS6,FT6,FU6,FV6,FW6,FX6,FY6,FZ6,GA6,GB6,GC6,GD6)</f>
        <v>G43 H10 Z0.15 M3 S3954</v>
      </c>
      <c r="CL6" s="26">
        <v>2</v>
      </c>
      <c r="CM6" s="14" t="s">
        <v>177</v>
      </c>
      <c r="CN6" s="6" t="s">
        <v>178</v>
      </c>
      <c r="CO6" s="14" t="s">
        <v>181</v>
      </c>
      <c r="CP6" s="10" t="str">
        <f>SUBSTITUTE(CP5,",",".")</f>
        <v>0.15</v>
      </c>
      <c r="CQ6" s="14" t="str">
        <f>IF(CP5=CQ5,".","")</f>
        <v/>
      </c>
      <c r="CR6" s="97" t="s">
        <v>161</v>
      </c>
      <c r="CS6" s="14" t="s">
        <v>1563</v>
      </c>
      <c r="CT6" s="97">
        <f>C28</f>
        <v>3954</v>
      </c>
      <c r="CU6" s="14"/>
      <c r="CV6" s="14"/>
      <c r="CW6" s="14"/>
      <c r="DA6" s="26"/>
      <c r="DB6" s="14"/>
      <c r="DC6" s="14"/>
      <c r="DD6" s="14"/>
      <c r="DE6" s="14"/>
      <c r="DF6" s="14"/>
      <c r="DG6" s="14"/>
      <c r="DH6" s="14"/>
      <c r="DI6" s="14"/>
      <c r="DJ6" s="14"/>
      <c r="DK6" s="14"/>
      <c r="DL6" s="14"/>
      <c r="DM6" s="14"/>
      <c r="DN6" s="14"/>
      <c r="DO6" s="14"/>
      <c r="FG6" s="26"/>
      <c r="FH6" s="14"/>
      <c r="FI6" s="6"/>
      <c r="FJ6" s="14"/>
      <c r="FK6" s="98"/>
      <c r="FL6" s="14"/>
      <c r="FM6" s="97"/>
      <c r="FN6" s="14"/>
      <c r="FO6" s="14"/>
      <c r="FP6" s="26">
        <v>2</v>
      </c>
      <c r="FQ6" s="14" t="s">
        <v>177</v>
      </c>
      <c r="FR6" s="6" t="s">
        <v>178</v>
      </c>
      <c r="FS6" s="14" t="s">
        <v>181</v>
      </c>
      <c r="FT6" s="98" t="str">
        <f>SUBSTITUTE(FT5,",",".")</f>
        <v>0.15</v>
      </c>
      <c r="FU6" s="14" t="str">
        <f>IF(FT5=FU5,".","")</f>
        <v/>
      </c>
      <c r="FV6" s="97" t="s">
        <v>161</v>
      </c>
      <c r="FW6" s="14" t="s">
        <v>179</v>
      </c>
      <c r="FX6" s="97">
        <f>C28</f>
        <v>3954</v>
      </c>
      <c r="FY6" s="14"/>
    </row>
    <row r="7" spans="1:181" ht="15.95" customHeight="1">
      <c r="A7" s="89"/>
      <c r="B7" s="89"/>
      <c r="C7" s="89"/>
      <c r="D7" s="89"/>
      <c r="E7" s="89"/>
      <c r="F7" s="90"/>
      <c r="G7" s="88" t="str">
        <f>IF(BW15=0,"",BW15)</f>
        <v>G03 X0.1891 Y0.1563 Z0.0156 R0,1591</v>
      </c>
      <c r="I7" s="5" t="str">
        <f t="shared" ref="I7:I13" si="12">LOOKUP(H$27,J$2:AB$2,J7:AB7)</f>
        <v>☞ Fanuc</v>
      </c>
      <c r="J7" s="136" t="s">
        <v>1248</v>
      </c>
      <c r="K7" s="136" t="s">
        <v>1248</v>
      </c>
      <c r="L7" s="40" t="s">
        <v>1247</v>
      </c>
      <c r="M7" s="5" t="s">
        <v>1361</v>
      </c>
      <c r="N7" s="5" t="s">
        <v>1361</v>
      </c>
      <c r="O7" s="5" t="s">
        <v>1361</v>
      </c>
      <c r="P7" s="5" t="s">
        <v>1361</v>
      </c>
      <c r="Q7" s="5" t="s">
        <v>1361</v>
      </c>
      <c r="R7" s="5" t="s">
        <v>1361</v>
      </c>
      <c r="S7" s="5" t="s">
        <v>1361</v>
      </c>
      <c r="T7" s="5" t="s">
        <v>1361</v>
      </c>
      <c r="U7" s="5" t="s">
        <v>1361</v>
      </c>
      <c r="V7" s="5" t="s">
        <v>1361</v>
      </c>
      <c r="W7" s="5" t="s">
        <v>1361</v>
      </c>
      <c r="X7" s="5" t="s">
        <v>1361</v>
      </c>
      <c r="Y7" s="43" t="s">
        <v>799</v>
      </c>
      <c r="Z7" s="5" t="s">
        <v>1361</v>
      </c>
      <c r="AA7" s="45" t="s">
        <v>800</v>
      </c>
      <c r="AB7" s="5" t="s">
        <v>1361</v>
      </c>
      <c r="AD7" s="131">
        <v>6</v>
      </c>
      <c r="AE7" s="262">
        <v>1</v>
      </c>
      <c r="AF7" s="262">
        <v>1</v>
      </c>
      <c r="AG7" s="262">
        <v>1</v>
      </c>
      <c r="AH7" s="263" t="s">
        <v>1505</v>
      </c>
      <c r="AI7" s="249">
        <v>0.375</v>
      </c>
      <c r="AJ7" s="249">
        <v>0.36</v>
      </c>
      <c r="AK7" s="250">
        <v>4</v>
      </c>
      <c r="AL7" s="264">
        <v>1.75</v>
      </c>
      <c r="AM7" s="249">
        <v>0.875</v>
      </c>
      <c r="AN7" s="252">
        <v>3.5</v>
      </c>
      <c r="AO7" s="265">
        <v>0.45669291338582679</v>
      </c>
      <c r="AP7" s="55">
        <f t="shared" si="0"/>
        <v>6</v>
      </c>
      <c r="AQ7" s="16" t="b">
        <f t="shared" si="1"/>
        <v>0</v>
      </c>
      <c r="AR7" s="16" t="b">
        <f t="shared" si="2"/>
        <v>0</v>
      </c>
      <c r="AS7" s="16">
        <f t="shared" si="3"/>
        <v>6</v>
      </c>
      <c r="AT7" s="16" t="b">
        <f t="shared" si="4"/>
        <v>0</v>
      </c>
      <c r="AU7" s="16" t="b">
        <f t="shared" si="5"/>
        <v>0</v>
      </c>
      <c r="AV7" t="e">
        <f t="shared" si="10"/>
        <v>#N/A</v>
      </c>
      <c r="AW7" t="e">
        <f t="shared" si="6"/>
        <v>#N/A</v>
      </c>
      <c r="AX7" t="e">
        <f t="shared" si="7"/>
        <v>#N/A</v>
      </c>
      <c r="AY7" t="b">
        <f t="shared" si="8"/>
        <v>1</v>
      </c>
      <c r="AZ7" t="str">
        <f t="shared" si="9"/>
        <v/>
      </c>
      <c r="BA7" s="61">
        <v>5</v>
      </c>
      <c r="BB7" s="157">
        <v>260</v>
      </c>
      <c r="BC7" s="272">
        <v>1E-3</v>
      </c>
      <c r="BD7" s="272">
        <v>1.6000000000000001E-3</v>
      </c>
      <c r="BE7" s="77"/>
      <c r="BF7" s="63"/>
      <c r="BH7" s="11"/>
      <c r="BI7" s="10"/>
      <c r="BK7" s="74"/>
      <c r="BL7" s="9"/>
      <c r="BM7" s="65"/>
      <c r="BO7" s="7" t="s">
        <v>1425</v>
      </c>
      <c r="BP7" s="20">
        <f>BP6*BL6</f>
        <v>0.75</v>
      </c>
      <c r="BR7" s="14" t="str">
        <f>IF(BP9&gt;1,100,"")</f>
        <v/>
      </c>
      <c r="BS7" s="7" t="s">
        <v>378</v>
      </c>
      <c r="BT7" s="14" t="str">
        <f>IF(BP42=2,"",BR7)</f>
        <v/>
      </c>
      <c r="BU7" s="14"/>
      <c r="BV7" s="8"/>
      <c r="CC7" s="23"/>
      <c r="CL7" s="26"/>
      <c r="CM7" s="14"/>
      <c r="CN7" s="14"/>
      <c r="CO7" s="103"/>
      <c r="CP7" s="103">
        <f>-BP56</f>
        <v>-0.91559999999999997</v>
      </c>
      <c r="CQ7" s="14"/>
      <c r="CR7" s="14"/>
      <c r="CS7" s="14"/>
      <c r="CT7" s="14"/>
      <c r="CU7" s="14"/>
      <c r="CV7" s="14"/>
      <c r="CW7" s="14"/>
      <c r="DA7" s="26"/>
      <c r="DB7" s="14"/>
      <c r="DC7" s="14"/>
      <c r="DD7" s="14"/>
      <c r="DE7" s="14"/>
      <c r="DF7" s="14"/>
      <c r="DG7" s="14"/>
      <c r="DH7" s="14"/>
      <c r="DI7" s="14"/>
      <c r="DJ7" s="14"/>
      <c r="DK7" s="14"/>
      <c r="DL7" s="14"/>
      <c r="DM7" s="14"/>
      <c r="DN7" s="14"/>
      <c r="DO7" s="14"/>
      <c r="FG7" s="26"/>
      <c r="FH7" s="14"/>
      <c r="FI7" s="14"/>
      <c r="FJ7" s="103"/>
      <c r="FK7" s="336">
        <f>-(IF(D23&gt;0,D23,C23))</f>
        <v>-0.75</v>
      </c>
      <c r="FL7" s="335">
        <f>IF(D23&gt;0,D23,C23)</f>
        <v>0.75</v>
      </c>
      <c r="FM7" s="14"/>
      <c r="FN7" s="14"/>
      <c r="FO7" s="14"/>
      <c r="FP7" s="26"/>
      <c r="FQ7" s="14"/>
      <c r="FR7" s="14"/>
      <c r="FS7" s="103"/>
      <c r="FT7" s="334">
        <f>-BP65</f>
        <v>-1.00787</v>
      </c>
      <c r="FU7" s="14"/>
      <c r="FV7" s="14"/>
      <c r="FW7" s="14"/>
      <c r="FX7" s="14"/>
    </row>
    <row r="8" spans="1:181" ht="15.95" customHeight="1">
      <c r="A8" s="89"/>
      <c r="B8" s="89"/>
      <c r="C8" s="89"/>
      <c r="D8" s="89"/>
      <c r="E8" s="89"/>
      <c r="F8" s="90"/>
      <c r="G8" s="87" t="str">
        <f>IF(BW18=0,"",BW18)</f>
        <v>G03 X0. Y0. Z0.0625 I-0.1891 J0. F4,6</v>
      </c>
      <c r="I8" s="5" t="str">
        <f t="shared" si="12"/>
        <v>Heidenhain</v>
      </c>
      <c r="J8" s="5" t="s">
        <v>93</v>
      </c>
      <c r="K8" s="5" t="s">
        <v>93</v>
      </c>
      <c r="L8" s="40" t="s">
        <v>801</v>
      </c>
      <c r="M8" s="5" t="s">
        <v>93</v>
      </c>
      <c r="N8" s="5" t="s">
        <v>93</v>
      </c>
      <c r="O8" s="5" t="s">
        <v>93</v>
      </c>
      <c r="P8" s="5" t="s">
        <v>93</v>
      </c>
      <c r="Q8" s="5" t="s">
        <v>93</v>
      </c>
      <c r="R8" s="5" t="s">
        <v>93</v>
      </c>
      <c r="S8" s="5" t="s">
        <v>93</v>
      </c>
      <c r="T8" s="5" t="s">
        <v>93</v>
      </c>
      <c r="U8" s="5" t="s">
        <v>93</v>
      </c>
      <c r="V8" s="5" t="s">
        <v>93</v>
      </c>
      <c r="W8" s="5" t="s">
        <v>93</v>
      </c>
      <c r="X8" s="5" t="s">
        <v>93</v>
      </c>
      <c r="Y8" s="43" t="s">
        <v>802</v>
      </c>
      <c r="Z8" s="5" t="s">
        <v>93</v>
      </c>
      <c r="AA8" s="45" t="s">
        <v>803</v>
      </c>
      <c r="AB8" s="5" t="s">
        <v>93</v>
      </c>
      <c r="AD8" s="131">
        <v>7</v>
      </c>
      <c r="AE8" s="262">
        <v>1</v>
      </c>
      <c r="AF8" s="262">
        <v>1</v>
      </c>
      <c r="AG8" s="262">
        <v>1</v>
      </c>
      <c r="AH8" s="263" t="s">
        <v>1506</v>
      </c>
      <c r="AI8" s="249">
        <v>0.375</v>
      </c>
      <c r="AJ8" s="249">
        <v>0.36</v>
      </c>
      <c r="AK8" s="250">
        <v>4</v>
      </c>
      <c r="AL8" s="264">
        <v>1</v>
      </c>
      <c r="AM8" s="249">
        <v>0.875</v>
      </c>
      <c r="AN8" s="252">
        <v>3.5</v>
      </c>
      <c r="AO8" s="265">
        <v>0.46456692913385833</v>
      </c>
      <c r="AP8" s="55">
        <f t="shared" si="0"/>
        <v>7</v>
      </c>
      <c r="AQ8" s="16" t="b">
        <f t="shared" si="1"/>
        <v>0</v>
      </c>
      <c r="AR8" s="16" t="b">
        <f t="shared" si="2"/>
        <v>0</v>
      </c>
      <c r="AS8" s="16">
        <f t="shared" si="3"/>
        <v>7</v>
      </c>
      <c r="AT8" s="16" t="b">
        <f t="shared" si="4"/>
        <v>0</v>
      </c>
      <c r="AU8" s="16" t="b">
        <f t="shared" si="5"/>
        <v>0</v>
      </c>
      <c r="AV8" t="e">
        <f t="shared" si="10"/>
        <v>#N/A</v>
      </c>
      <c r="AW8" t="e">
        <f t="shared" si="6"/>
        <v>#N/A</v>
      </c>
      <c r="AX8" t="e">
        <f t="shared" si="7"/>
        <v>#N/A</v>
      </c>
      <c r="AY8" t="b">
        <f t="shared" si="8"/>
        <v>1</v>
      </c>
      <c r="AZ8" t="str">
        <f t="shared" si="9"/>
        <v/>
      </c>
      <c r="BA8" s="61">
        <v>6</v>
      </c>
      <c r="BB8" s="157">
        <v>230</v>
      </c>
      <c r="BC8" s="272">
        <v>4.0000000000000002E-4</v>
      </c>
      <c r="BD8" s="272">
        <v>5.9999999999999995E-4</v>
      </c>
      <c r="BE8" s="77"/>
      <c r="BF8" s="63"/>
      <c r="BH8" s="11"/>
      <c r="BI8" s="10"/>
      <c r="BK8" s="76"/>
      <c r="BL8" s="14"/>
      <c r="BM8" s="65"/>
      <c r="BS8" s="8" t="s">
        <v>154</v>
      </c>
      <c r="BT8" s="14" t="str">
        <f>IF(BP42=3,1000,"")</f>
        <v/>
      </c>
      <c r="BU8" s="14"/>
      <c r="BV8" s="8"/>
      <c r="CC8" s="23"/>
      <c r="CO8" s="104"/>
      <c r="CP8" s="102">
        <f>INT(CP7)</f>
        <v>-1</v>
      </c>
      <c r="DA8" s="26"/>
      <c r="DB8" s="14"/>
      <c r="DC8" s="14"/>
      <c r="DD8" s="14"/>
      <c r="DE8" s="14"/>
      <c r="DF8" s="14"/>
      <c r="DG8" s="14"/>
      <c r="DH8" s="14"/>
      <c r="DI8" s="14"/>
      <c r="DJ8" s="14"/>
      <c r="DK8" s="14"/>
      <c r="DL8" s="14"/>
      <c r="DM8" s="14"/>
      <c r="DN8" s="14"/>
      <c r="DO8" s="14"/>
      <c r="FJ8" s="104"/>
      <c r="FK8" s="102">
        <f>INT(FK7)</f>
        <v>-1</v>
      </c>
      <c r="FS8" s="104"/>
      <c r="FT8" s="102">
        <f>INT(FT7)</f>
        <v>-2</v>
      </c>
    </row>
    <row r="9" spans="1:181" ht="15.95" customHeight="1">
      <c r="A9" s="89"/>
      <c r="B9" s="134" t="str">
        <f>I60</f>
        <v>D = thread diameter (Inch)</v>
      </c>
      <c r="C9" s="324">
        <v>0.375</v>
      </c>
      <c r="D9" s="89"/>
      <c r="E9" s="89"/>
      <c r="F9" s="90"/>
      <c r="G9" s="87" t="str">
        <f>IF(BW21=0,"",BW21)</f>
        <v>G03 X-0.1891 Y0.1563 Z0.0156 R0,1591</v>
      </c>
      <c r="I9" s="5" t="str">
        <f t="shared" si="12"/>
        <v>Siemens</v>
      </c>
      <c r="J9" s="5" t="s">
        <v>543</v>
      </c>
      <c r="K9" s="5" t="s">
        <v>543</v>
      </c>
      <c r="L9" s="40" t="s">
        <v>804</v>
      </c>
      <c r="M9" s="5" t="s">
        <v>543</v>
      </c>
      <c r="N9" s="5" t="s">
        <v>543</v>
      </c>
      <c r="O9" s="5" t="s">
        <v>543</v>
      </c>
      <c r="P9" s="5" t="s">
        <v>543</v>
      </c>
      <c r="Q9" s="5" t="s">
        <v>543</v>
      </c>
      <c r="R9" s="5" t="s">
        <v>543</v>
      </c>
      <c r="S9" s="5" t="s">
        <v>543</v>
      </c>
      <c r="T9" s="5" t="s">
        <v>543</v>
      </c>
      <c r="U9" s="5" t="s">
        <v>543</v>
      </c>
      <c r="V9" s="5" t="s">
        <v>543</v>
      </c>
      <c r="W9" s="5" t="s">
        <v>543</v>
      </c>
      <c r="X9" s="5" t="s">
        <v>543</v>
      </c>
      <c r="Y9" s="43" t="s">
        <v>805</v>
      </c>
      <c r="Z9" s="5" t="s">
        <v>543</v>
      </c>
      <c r="AA9" s="45" t="s">
        <v>806</v>
      </c>
      <c r="AB9" s="5" t="s">
        <v>543</v>
      </c>
      <c r="AD9" s="131">
        <v>8</v>
      </c>
      <c r="AE9" s="262">
        <v>1</v>
      </c>
      <c r="AF9" s="262">
        <v>1</v>
      </c>
      <c r="AG9" s="262">
        <v>1</v>
      </c>
      <c r="AH9" s="263" t="s">
        <v>1507</v>
      </c>
      <c r="AI9" s="249">
        <v>0.312</v>
      </c>
      <c r="AJ9" s="249">
        <v>0.3</v>
      </c>
      <c r="AK9" s="250">
        <v>4</v>
      </c>
      <c r="AL9" s="264">
        <v>1.5</v>
      </c>
      <c r="AM9" s="249">
        <v>0.75</v>
      </c>
      <c r="AN9" s="252">
        <v>3</v>
      </c>
      <c r="AO9" s="265">
        <v>0.37795275590551181</v>
      </c>
      <c r="AP9" s="55">
        <f t="shared" si="0"/>
        <v>8</v>
      </c>
      <c r="AQ9" s="16" t="b">
        <f t="shared" si="1"/>
        <v>0</v>
      </c>
      <c r="AR9" s="16" t="b">
        <f t="shared" si="2"/>
        <v>0</v>
      </c>
      <c r="AS9" s="16">
        <f t="shared" si="3"/>
        <v>8</v>
      </c>
      <c r="AT9" s="16" t="b">
        <f t="shared" si="4"/>
        <v>0</v>
      </c>
      <c r="AU9" s="16" t="b">
        <f t="shared" si="5"/>
        <v>0</v>
      </c>
      <c r="AV9" t="e">
        <f t="shared" si="10"/>
        <v>#N/A</v>
      </c>
      <c r="AW9" t="e">
        <f t="shared" si="6"/>
        <v>#N/A</v>
      </c>
      <c r="AX9" t="e">
        <f t="shared" si="7"/>
        <v>#N/A</v>
      </c>
      <c r="AY9" t="b">
        <f t="shared" si="8"/>
        <v>1</v>
      </c>
      <c r="AZ9" t="str">
        <f t="shared" si="9"/>
        <v/>
      </c>
      <c r="BA9" s="61">
        <v>7</v>
      </c>
      <c r="BB9" s="157">
        <v>130</v>
      </c>
      <c r="BC9" s="272">
        <v>2.9999999999999997E-4</v>
      </c>
      <c r="BD9" s="272">
        <v>4.0000000000000002E-4</v>
      </c>
      <c r="BE9" s="77"/>
      <c r="BF9" s="63"/>
      <c r="BH9" s="11"/>
      <c r="BI9" s="10"/>
      <c r="BK9" s="76"/>
      <c r="BM9" s="65"/>
      <c r="BO9" s="7" t="s">
        <v>378</v>
      </c>
      <c r="BP9" s="17">
        <f>LOOKUP(C11,BP10:BP19,BO10:BO19)</f>
        <v>1</v>
      </c>
      <c r="BS9" s="83" t="s">
        <v>377</v>
      </c>
      <c r="BT9" s="14" t="str">
        <f>IF(BP42=2,10000,"")</f>
        <v/>
      </c>
      <c r="BU9" s="14"/>
      <c r="BV9" s="8">
        <v>3</v>
      </c>
      <c r="BW9" s="54" t="str">
        <f>LOOKUP(BT$54,BX$2:CK$2,BX9:CK9)</f>
        <v>G91 G00 Z-0.9156</v>
      </c>
      <c r="BX9" s="23" t="s">
        <v>123</v>
      </c>
      <c r="BY9" s="23" t="str">
        <f t="shared" si="11"/>
        <v>G91 G00 Z-0.9156</v>
      </c>
      <c r="BZ9" s="23" t="str">
        <f>BY9</f>
        <v>G91 G00 Z-0.9156</v>
      </c>
      <c r="CA9" s="23" t="str">
        <f>BY9</f>
        <v>G91 G00 Z-0.9156</v>
      </c>
      <c r="CB9" s="23" t="str">
        <f>BZ9</f>
        <v>G91 G00 Z-0.9156</v>
      </c>
      <c r="CC9" s="23" t="str">
        <f>BY9</f>
        <v>G91 G00 Z-0.9156</v>
      </c>
      <c r="CD9" s="23" t="str">
        <f>BZ9</f>
        <v>G91 G00 Z-0.9156</v>
      </c>
      <c r="CE9" s="23" t="str">
        <f>BY9</f>
        <v>G91 G00 Z-0.9156</v>
      </c>
      <c r="CF9" s="23" t="str">
        <f>BZ9</f>
        <v>G91 G00 Z-0.9156</v>
      </c>
      <c r="CG9" s="23" t="str">
        <f>CONCATENATE(FH9,FI9,FJ9,FK9,FL9,FM9,FN9)</f>
        <v>G90 G00 Z-0.75</v>
      </c>
      <c r="CH9" s="23" t="str">
        <f>CG9</f>
        <v>G90 G00 Z-0.75</v>
      </c>
      <c r="CI9" s="23" t="str">
        <f>CONCATENATE(FH9,FI9,FJ9,FK9,FL9,FM9,FN9)</f>
        <v>G90 G00 Z-0.75</v>
      </c>
      <c r="CJ9" s="23" t="str">
        <f>CI9</f>
        <v>G90 G00 Z-0.75</v>
      </c>
      <c r="CK9" s="23" t="str">
        <f>CONCATENATE(FQ9,FR9,FS9,FT9,FU9,FV9,FW9,FX9,FY9,FZ9,GA9,GB9,GC9,GD9)</f>
        <v>G91 G01 Z-1.00787 F514</v>
      </c>
      <c r="CL9" s="26">
        <v>3</v>
      </c>
      <c r="CM9" s="14" t="s">
        <v>180</v>
      </c>
      <c r="CN9" s="14" t="s">
        <v>175</v>
      </c>
      <c r="CO9" s="14" t="s">
        <v>181</v>
      </c>
      <c r="CP9" s="14" t="str">
        <f>SUBSTITUTE(CP7,",",".")</f>
        <v>-0.9156</v>
      </c>
      <c r="CQ9" s="14" t="str">
        <f>IF(CP7=CP8,".","")</f>
        <v/>
      </c>
      <c r="CR9" s="14"/>
      <c r="CS9" s="14"/>
      <c r="CT9" s="14"/>
      <c r="CU9" s="14"/>
      <c r="CV9" s="14"/>
      <c r="CW9" s="14"/>
      <c r="DA9" s="26"/>
      <c r="DB9" s="14"/>
      <c r="DC9" s="14"/>
      <c r="DD9" s="14"/>
      <c r="DE9" s="14"/>
      <c r="DF9" s="14"/>
      <c r="DG9" s="14"/>
      <c r="DH9" s="14"/>
      <c r="DI9" s="14"/>
      <c r="DJ9" s="14"/>
      <c r="DK9" s="14"/>
      <c r="DL9" s="14"/>
      <c r="DM9" s="14"/>
      <c r="DN9" s="14"/>
      <c r="DO9" s="14"/>
      <c r="FG9" s="26">
        <v>3</v>
      </c>
      <c r="FH9" s="186" t="s">
        <v>446</v>
      </c>
      <c r="FI9" s="14" t="s">
        <v>175</v>
      </c>
      <c r="FJ9" s="14" t="s">
        <v>181</v>
      </c>
      <c r="FK9" s="14" t="str">
        <f>SUBSTITUTE(FK7,",",".")</f>
        <v>-0.75</v>
      </c>
      <c r="FL9" s="14"/>
      <c r="FM9" s="14"/>
      <c r="FN9" s="14"/>
      <c r="FO9" s="14"/>
      <c r="FP9" s="26">
        <v>3</v>
      </c>
      <c r="FQ9" s="14" t="s">
        <v>180</v>
      </c>
      <c r="FR9" s="186" t="s">
        <v>445</v>
      </c>
      <c r="FS9" s="14" t="s">
        <v>181</v>
      </c>
      <c r="FT9" s="14" t="str">
        <f>SUBSTITUTE(FT7,",",".")</f>
        <v>-1.00787</v>
      </c>
      <c r="FU9" s="10" t="s">
        <v>841</v>
      </c>
      <c r="FV9" s="185">
        <f>ROUND(C28*BF47,0)</f>
        <v>514</v>
      </c>
      <c r="FW9" s="14"/>
      <c r="FX9" s="14"/>
    </row>
    <row r="10" spans="1:181" ht="15.95" customHeight="1">
      <c r="A10" s="89"/>
      <c r="B10" s="135" t="str">
        <f>IF(BL10=1,I61,I62)</f>
        <v>P = pitch (TPI)</v>
      </c>
      <c r="C10" s="184">
        <v>16</v>
      </c>
      <c r="D10" s="89"/>
      <c r="E10" s="89"/>
      <c r="F10" s="90"/>
      <c r="G10" s="87" t="str">
        <f>IF(BW24=0,"",BW24)</f>
        <v>G00 G40 X0. Y-0.1563</v>
      </c>
      <c r="I10" s="5" t="str">
        <f t="shared" si="12"/>
        <v>Num</v>
      </c>
      <c r="J10" s="5" t="s">
        <v>544</v>
      </c>
      <c r="K10" s="5" t="s">
        <v>544</v>
      </c>
      <c r="L10" s="40" t="s">
        <v>807</v>
      </c>
      <c r="M10" s="5" t="s">
        <v>544</v>
      </c>
      <c r="N10" s="5" t="s">
        <v>544</v>
      </c>
      <c r="O10" s="5" t="s">
        <v>544</v>
      </c>
      <c r="P10" s="5" t="s">
        <v>544</v>
      </c>
      <c r="Q10" s="5" t="s">
        <v>544</v>
      </c>
      <c r="R10" s="5" t="s">
        <v>544</v>
      </c>
      <c r="S10" s="5" t="s">
        <v>544</v>
      </c>
      <c r="T10" s="5" t="s">
        <v>544</v>
      </c>
      <c r="U10" s="5" t="s">
        <v>1286</v>
      </c>
      <c r="V10" s="5" t="s">
        <v>544</v>
      </c>
      <c r="W10" s="5" t="s">
        <v>544</v>
      </c>
      <c r="X10" s="5" t="s">
        <v>544</v>
      </c>
      <c r="Y10" s="5" t="s">
        <v>544</v>
      </c>
      <c r="Z10" s="5" t="s">
        <v>544</v>
      </c>
      <c r="AA10" s="46" t="s">
        <v>808</v>
      </c>
      <c r="AB10" s="5" t="s">
        <v>544</v>
      </c>
      <c r="AD10" s="131">
        <v>9</v>
      </c>
      <c r="AE10" s="262">
        <v>1</v>
      </c>
      <c r="AF10" s="262">
        <v>1</v>
      </c>
      <c r="AG10" s="262">
        <v>1</v>
      </c>
      <c r="AH10" s="263" t="s">
        <v>1508</v>
      </c>
      <c r="AI10" s="249">
        <v>0.25</v>
      </c>
      <c r="AJ10" s="249">
        <v>0.23499999999999999</v>
      </c>
      <c r="AK10" s="250">
        <v>3</v>
      </c>
      <c r="AL10" s="264">
        <v>1.25</v>
      </c>
      <c r="AM10" s="249">
        <v>0.625</v>
      </c>
      <c r="AN10" s="252">
        <v>2.5</v>
      </c>
      <c r="AO10" s="265">
        <v>0.30708661417322836</v>
      </c>
      <c r="AP10" s="55">
        <f t="shared" si="0"/>
        <v>9</v>
      </c>
      <c r="AQ10" s="16">
        <f t="shared" si="1"/>
        <v>9</v>
      </c>
      <c r="AR10" s="16" t="b">
        <f t="shared" si="2"/>
        <v>0</v>
      </c>
      <c r="AS10" s="16" t="b">
        <f t="shared" si="3"/>
        <v>0</v>
      </c>
      <c r="AT10" s="16" t="b">
        <f t="shared" si="4"/>
        <v>0</v>
      </c>
      <c r="AU10" s="16" t="b">
        <f t="shared" si="5"/>
        <v>0</v>
      </c>
      <c r="AV10" t="e">
        <f t="shared" si="10"/>
        <v>#N/A</v>
      </c>
      <c r="AW10" t="e">
        <f t="shared" si="6"/>
        <v>#N/A</v>
      </c>
      <c r="AX10" t="e">
        <f t="shared" si="7"/>
        <v>#N/A</v>
      </c>
      <c r="AY10" t="b">
        <f t="shared" si="8"/>
        <v>1</v>
      </c>
      <c r="AZ10" t="str">
        <f t="shared" si="9"/>
        <v/>
      </c>
      <c r="BA10" s="61">
        <v>8</v>
      </c>
      <c r="BB10" s="157">
        <v>92</v>
      </c>
      <c r="BC10" s="272">
        <v>2.0000000000000001E-4</v>
      </c>
      <c r="BD10" s="272">
        <v>2.9999999999999997E-4</v>
      </c>
      <c r="BE10" s="61"/>
      <c r="BF10" s="65"/>
      <c r="BH10" s="11"/>
      <c r="BI10" s="10"/>
      <c r="BK10" s="77" t="s">
        <v>1038</v>
      </c>
      <c r="BL10" s="36">
        <v>2</v>
      </c>
      <c r="BM10" s="65"/>
      <c r="BO10" s="16">
        <v>1</v>
      </c>
      <c r="BP10" s="16">
        <v>0</v>
      </c>
      <c r="BS10" s="180" t="s">
        <v>442</v>
      </c>
      <c r="BT10" s="14" t="str">
        <f>IF(BP37=2,100000,(IF(BP37=3,200000,"")))</f>
        <v/>
      </c>
      <c r="BU10" s="14"/>
      <c r="BV10" s="8"/>
      <c r="CC10" s="23"/>
      <c r="CL10" s="26"/>
      <c r="CM10" s="14"/>
      <c r="CN10" s="14"/>
      <c r="CO10" s="14"/>
      <c r="CP10" s="14"/>
      <c r="CQ10" s="14"/>
      <c r="CR10" s="14"/>
      <c r="CS10" s="14"/>
      <c r="CT10" s="14"/>
      <c r="CU10" s="14"/>
      <c r="CV10" s="14"/>
      <c r="CW10" s="14"/>
      <c r="DA10" s="26"/>
      <c r="DB10" s="14"/>
      <c r="DC10" s="14"/>
      <c r="DD10" s="14"/>
      <c r="DE10" s="14"/>
      <c r="DF10" s="14"/>
      <c r="DG10" s="14"/>
      <c r="DH10" s="14"/>
      <c r="DI10" s="14"/>
      <c r="DJ10" s="14"/>
      <c r="DK10" s="14"/>
      <c r="DL10" s="14"/>
      <c r="DM10" s="16"/>
      <c r="DN10" s="16"/>
      <c r="DO10" s="16"/>
      <c r="DP10" s="26"/>
      <c r="FG10" s="26"/>
      <c r="FH10" s="14"/>
      <c r="FI10" s="14"/>
      <c r="FJ10" s="14"/>
      <c r="FK10" s="336">
        <f>-ROUND(IF(D18&gt;0,(D18-C9-0.012)/2+((C9+0.012-(IF(D22&gt;0,D22,C22)))/2+(BL6*0.5)),((C9+0.012-(IF(D22&gt;0,D22,C22)))/2+(BL6*0.5))),4)</f>
        <v>-8.2299999999999998E-2</v>
      </c>
      <c r="FL10" s="244"/>
      <c r="FM10" s="14"/>
      <c r="FN10" s="14"/>
      <c r="FO10" s="14"/>
      <c r="FP10" s="26"/>
      <c r="FQ10" s="14"/>
      <c r="FR10" s="14"/>
      <c r="FS10" s="14"/>
      <c r="FT10" s="337">
        <f>BP66</f>
        <v>2.1000000000000001E-2</v>
      </c>
      <c r="FU10" s="14"/>
      <c r="FV10" s="14"/>
      <c r="FW10" s="14"/>
      <c r="FX10" s="14"/>
    </row>
    <row r="11" spans="1:181" ht="15.95" customHeight="1">
      <c r="A11" s="89"/>
      <c r="B11" s="135" t="str">
        <f>I63</f>
        <v>L = thread length (Inch)</v>
      </c>
      <c r="C11" s="325">
        <v>0.75</v>
      </c>
      <c r="D11" s="89"/>
      <c r="E11" s="89"/>
      <c r="F11" s="90"/>
      <c r="G11" s="87" t="str">
        <f>IF(BW27=0,"",BW27)</f>
        <v>G00 Z0.8219</v>
      </c>
      <c r="I11" s="5" t="str">
        <f t="shared" si="12"/>
        <v>Fagor</v>
      </c>
      <c r="J11" s="5" t="s">
        <v>545</v>
      </c>
      <c r="K11" s="5" t="s">
        <v>545</v>
      </c>
      <c r="L11" s="40" t="s">
        <v>809</v>
      </c>
      <c r="M11" s="5" t="s">
        <v>545</v>
      </c>
      <c r="N11" s="5" t="s">
        <v>545</v>
      </c>
      <c r="O11" s="5" t="s">
        <v>545</v>
      </c>
      <c r="P11" s="5" t="s">
        <v>545</v>
      </c>
      <c r="Q11" s="5" t="s">
        <v>545</v>
      </c>
      <c r="R11" s="5" t="s">
        <v>545</v>
      </c>
      <c r="S11" s="5" t="s">
        <v>545</v>
      </c>
      <c r="T11" s="5" t="s">
        <v>545</v>
      </c>
      <c r="U11" s="5" t="s">
        <v>545</v>
      </c>
      <c r="V11" s="5" t="s">
        <v>545</v>
      </c>
      <c r="W11" s="5" t="s">
        <v>545</v>
      </c>
      <c r="X11" s="5" t="s">
        <v>545</v>
      </c>
      <c r="Y11" s="5" t="s">
        <v>545</v>
      </c>
      <c r="Z11" s="5" t="s">
        <v>545</v>
      </c>
      <c r="AA11" s="45" t="s">
        <v>810</v>
      </c>
      <c r="AB11" s="5" t="s">
        <v>545</v>
      </c>
      <c r="AD11" s="131">
        <v>10</v>
      </c>
      <c r="AE11" s="262">
        <v>1</v>
      </c>
      <c r="AF11" s="262">
        <v>1</v>
      </c>
      <c r="AG11" s="262">
        <v>1</v>
      </c>
      <c r="AH11" s="263" t="s">
        <v>1509</v>
      </c>
      <c r="AI11" s="249">
        <v>0.25</v>
      </c>
      <c r="AJ11" s="249">
        <v>0.23499999999999999</v>
      </c>
      <c r="AK11" s="250">
        <v>3</v>
      </c>
      <c r="AL11" s="264">
        <v>0.75</v>
      </c>
      <c r="AM11" s="249">
        <v>0.625</v>
      </c>
      <c r="AN11" s="252">
        <v>2.5</v>
      </c>
      <c r="AO11" s="265">
        <v>0.30708661417322836</v>
      </c>
      <c r="AP11" s="55">
        <f t="shared" si="0"/>
        <v>10</v>
      </c>
      <c r="AQ11" s="16">
        <f t="shared" si="1"/>
        <v>10</v>
      </c>
      <c r="AR11" s="16" t="b">
        <f t="shared" si="2"/>
        <v>0</v>
      </c>
      <c r="AS11" s="16" t="b">
        <f t="shared" si="3"/>
        <v>0</v>
      </c>
      <c r="AT11" s="16" t="b">
        <f t="shared" si="4"/>
        <v>0</v>
      </c>
      <c r="AU11" s="16" t="b">
        <f t="shared" si="5"/>
        <v>0</v>
      </c>
      <c r="AV11" t="e">
        <f t="shared" si="10"/>
        <v>#N/A</v>
      </c>
      <c r="AW11" t="e">
        <f t="shared" si="6"/>
        <v>#N/A</v>
      </c>
      <c r="AX11" t="e">
        <f t="shared" si="7"/>
        <v>#N/A</v>
      </c>
      <c r="AY11" t="b">
        <f t="shared" si="8"/>
        <v>1</v>
      </c>
      <c r="AZ11" t="str">
        <f t="shared" si="9"/>
        <v/>
      </c>
      <c r="BA11" s="61">
        <v>9</v>
      </c>
      <c r="BB11" s="157">
        <v>330</v>
      </c>
      <c r="BC11" s="272">
        <v>1.6000000000000001E-3</v>
      </c>
      <c r="BD11" s="272">
        <v>3.0999999999999999E-3</v>
      </c>
      <c r="BE11" s="59">
        <v>1</v>
      </c>
      <c r="BF11" s="119" t="s">
        <v>1325</v>
      </c>
      <c r="BH11" s="11"/>
      <c r="BI11" s="10"/>
      <c r="BK11" s="78"/>
      <c r="BM11" s="65"/>
      <c r="BO11" s="16">
        <v>2</v>
      </c>
      <c r="BP11" s="20">
        <f>BP4</f>
        <v>0.75009999999999999</v>
      </c>
      <c r="BR11" s="36"/>
      <c r="BS11" s="83" t="s">
        <v>376</v>
      </c>
      <c r="BT11" s="14">
        <v>0</v>
      </c>
      <c r="BU11" s="14"/>
      <c r="BV11" s="8"/>
      <c r="CC11" s="23"/>
      <c r="CP11" s="16"/>
      <c r="CR11" s="16"/>
      <c r="DA11" s="24"/>
      <c r="DB11"/>
      <c r="DC11"/>
      <c r="DD11"/>
      <c r="DF11"/>
      <c r="DH11"/>
      <c r="DI11"/>
      <c r="DJ11"/>
      <c r="DK11"/>
      <c r="DL11"/>
      <c r="DM11" s="16"/>
      <c r="DN11" s="16"/>
      <c r="DO11" s="16"/>
      <c r="FK11" s="174">
        <f>INT(FK10)</f>
        <v>-1</v>
      </c>
      <c r="FM11" s="16"/>
      <c r="FT11" s="174">
        <f>INT(FT10)</f>
        <v>0</v>
      </c>
      <c r="FV11" s="16"/>
    </row>
    <row r="12" spans="1:181" ht="15.95" customHeight="1">
      <c r="A12" s="89"/>
      <c r="B12" s="135" t="str">
        <f>I64</f>
        <v>S = safety distance (Inch)</v>
      </c>
      <c r="C12" s="323">
        <v>0.15</v>
      </c>
      <c r="D12" s="91"/>
      <c r="E12" s="89"/>
      <c r="F12" s="90"/>
      <c r="G12" s="87" t="str">
        <f>IF(BW30=0,"",BW30)</f>
        <v>G90 G49 G00 Z8. M5</v>
      </c>
      <c r="I12" s="5" t="str">
        <f t="shared" si="12"/>
        <v>Mazak</v>
      </c>
      <c r="J12" s="5" t="s">
        <v>546</v>
      </c>
      <c r="K12" s="5" t="s">
        <v>546</v>
      </c>
      <c r="L12" s="40" t="s">
        <v>811</v>
      </c>
      <c r="M12" s="5" t="s">
        <v>546</v>
      </c>
      <c r="N12" s="5" t="s">
        <v>546</v>
      </c>
      <c r="O12" s="5" t="s">
        <v>546</v>
      </c>
      <c r="P12" s="5" t="s">
        <v>546</v>
      </c>
      <c r="Q12" s="5" t="s">
        <v>546</v>
      </c>
      <c r="R12" s="5" t="s">
        <v>546</v>
      </c>
      <c r="S12" s="5" t="s">
        <v>546</v>
      </c>
      <c r="T12" s="5" t="s">
        <v>546</v>
      </c>
      <c r="U12" s="5" t="s">
        <v>546</v>
      </c>
      <c r="V12" s="5" t="s">
        <v>546</v>
      </c>
      <c r="W12" s="5" t="s">
        <v>546</v>
      </c>
      <c r="X12" s="5" t="s">
        <v>546</v>
      </c>
      <c r="Y12" s="43" t="s">
        <v>812</v>
      </c>
      <c r="Z12" s="5" t="s">
        <v>546</v>
      </c>
      <c r="AA12" s="45" t="s">
        <v>813</v>
      </c>
      <c r="AB12" s="5" t="s">
        <v>546</v>
      </c>
      <c r="AD12" s="131">
        <v>11</v>
      </c>
      <c r="AE12" s="262">
        <v>1</v>
      </c>
      <c r="AF12" s="262">
        <v>1</v>
      </c>
      <c r="AG12" s="262">
        <v>1</v>
      </c>
      <c r="AH12" s="263" t="s">
        <v>1510</v>
      </c>
      <c r="AI12" s="249">
        <v>0.187</v>
      </c>
      <c r="AJ12" s="249">
        <v>0.17</v>
      </c>
      <c r="AK12" s="250">
        <v>3</v>
      </c>
      <c r="AL12" s="264">
        <v>1</v>
      </c>
      <c r="AM12" s="249">
        <v>0.5</v>
      </c>
      <c r="AN12" s="252">
        <v>2.5</v>
      </c>
      <c r="AO12" s="265">
        <v>0.2283464566929134</v>
      </c>
      <c r="AP12" s="55">
        <f t="shared" si="0"/>
        <v>11</v>
      </c>
      <c r="AQ12" s="16">
        <f t="shared" si="1"/>
        <v>11</v>
      </c>
      <c r="AR12" s="16" t="b">
        <f t="shared" si="2"/>
        <v>0</v>
      </c>
      <c r="AS12" s="16" t="b">
        <f t="shared" si="3"/>
        <v>0</v>
      </c>
      <c r="AT12" s="16" t="b">
        <f t="shared" si="4"/>
        <v>0</v>
      </c>
      <c r="AU12" s="16" t="b">
        <f t="shared" si="5"/>
        <v>0</v>
      </c>
      <c r="AV12" t="e">
        <f t="shared" si="10"/>
        <v>#N/A</v>
      </c>
      <c r="AW12" t="e">
        <f t="shared" si="6"/>
        <v>#N/A</v>
      </c>
      <c r="AX12" t="e">
        <f t="shared" si="7"/>
        <v>#N/A</v>
      </c>
      <c r="AY12" t="b">
        <f t="shared" si="8"/>
        <v>1</v>
      </c>
      <c r="AZ12" t="str">
        <f t="shared" si="9"/>
        <v/>
      </c>
      <c r="BA12" s="61">
        <v>10</v>
      </c>
      <c r="BB12" s="157">
        <v>260</v>
      </c>
      <c r="BC12" s="272">
        <v>1.1999999999999999E-3</v>
      </c>
      <c r="BD12" s="272">
        <v>2.3999999999999998E-3</v>
      </c>
      <c r="BE12" s="116">
        <f>LOOKUP(BE11,AD$2:AD$16,AV$2:AV$16)</f>
        <v>35</v>
      </c>
      <c r="BF12" s="118" t="s">
        <v>1324</v>
      </c>
      <c r="BH12" s="11"/>
      <c r="BI12" s="10"/>
      <c r="BK12" s="78"/>
      <c r="BM12" s="65"/>
      <c r="BO12" s="16">
        <v>3</v>
      </c>
      <c r="BP12" s="20">
        <f>BP11+BP7</f>
        <v>1.5001</v>
      </c>
      <c r="BS12" s="8"/>
      <c r="BT12" s="14"/>
      <c r="BV12" s="8">
        <v>4</v>
      </c>
      <c r="BW12" s="54" t="str">
        <f>LOOKUP(BT$54,BX$2:CK$2,BX12:CK12)</f>
        <v>G41 D10 X0. Y-0,1563 F2,3</v>
      </c>
      <c r="BY12" s="23" t="str">
        <f t="shared" si="11"/>
        <v>G41 D10 X0. Y-0,1563 F2,3</v>
      </c>
      <c r="BZ12" s="23" t="str">
        <f>CONCATENATE(DB12,DC12,DD12,DE12,DF12,DG12,DH12)</f>
        <v>G41 D60 X0. Y-0,1563 F1,9</v>
      </c>
      <c r="CA12" s="23" t="str">
        <f>CONCATENATE(DQ12,DR12)</f>
        <v>#1=1</v>
      </c>
      <c r="CB12" s="23" t="str">
        <f>CA12</f>
        <v>#1=1</v>
      </c>
      <c r="CC12" s="4" t="str">
        <f>BY12</f>
        <v>G41 D10 X0. Y-0,1563 F2,3</v>
      </c>
      <c r="CD12" s="23" t="str">
        <f>BZ12</f>
        <v>G41 D60 X0. Y-0,1563 F1,9</v>
      </c>
      <c r="CE12" s="23" t="str">
        <f>BY12</f>
        <v>G41 D10 X0. Y-0,1563 F2,3</v>
      </c>
      <c r="CF12" s="23" t="str">
        <f>BZ12</f>
        <v>G41 D60 X0. Y-0,1563 F1,9</v>
      </c>
      <c r="CG12" s="23" t="str">
        <f>CONCATENATE(FH12,FI12,FJ12,FK12,FL12,FM12,FN12)</f>
        <v>G91 G01 Z-0.0823 F3,7</v>
      </c>
      <c r="CH12" s="23" t="str">
        <f>CG12</f>
        <v>G91 G01 Z-0.0823 F3,7</v>
      </c>
      <c r="CI12" s="23" t="str">
        <f>CONCATENATE(FH12,FI12,FJ12,FK12,FL12,FM12,FN12)</f>
        <v>G91 G01 Z-0.0823 F3,7</v>
      </c>
      <c r="CJ12" s="23" t="str">
        <f>CI12</f>
        <v>G91 G01 Z-0.0823 F3,7</v>
      </c>
      <c r="CK12" s="23" t="str">
        <f>CONCATENATE(FQ12,FR12,FS12,FT12,FU12,FV12,FW12,FX12,FY12,FZ12,GA12,GB12,GC12,GD12)</f>
        <v>G91 G01 Z0.021</v>
      </c>
      <c r="CL12" s="26">
        <v>4</v>
      </c>
      <c r="CM12" s="14" t="s">
        <v>1353</v>
      </c>
      <c r="CN12" s="14" t="s">
        <v>644</v>
      </c>
      <c r="CO12" s="14" t="s">
        <v>1350</v>
      </c>
      <c r="CP12" s="14" t="s">
        <v>1352</v>
      </c>
      <c r="CQ12" s="335">
        <f>BP55</f>
        <v>-0.15629999999999999</v>
      </c>
      <c r="CR12" s="186" t="s">
        <v>841</v>
      </c>
      <c r="CS12" s="14">
        <f>ROUND(C30*0.5,1)</f>
        <v>2.2999999999999998</v>
      </c>
      <c r="CT12" s="6"/>
      <c r="CU12" s="14"/>
      <c r="CV12" s="14"/>
      <c r="CW12" s="14"/>
      <c r="DA12" s="26">
        <v>4</v>
      </c>
      <c r="DB12" s="14" t="s">
        <v>1353</v>
      </c>
      <c r="DC12" s="14" t="s">
        <v>814</v>
      </c>
      <c r="DD12" s="14" t="s">
        <v>1350</v>
      </c>
      <c r="DE12" s="14" t="s">
        <v>1352</v>
      </c>
      <c r="DF12" s="10">
        <f>BP55</f>
        <v>-0.15629999999999999</v>
      </c>
      <c r="DG12" s="14" t="s">
        <v>841</v>
      </c>
      <c r="DH12" s="14">
        <f>ROUND(BM51*0.5,1)</f>
        <v>1.9</v>
      </c>
      <c r="DI12" s="6"/>
      <c r="DJ12" s="14"/>
      <c r="DK12" s="14"/>
      <c r="DL12" s="14"/>
      <c r="DM12" s="16"/>
      <c r="DN12" s="16"/>
      <c r="DO12" s="16"/>
      <c r="DP12" s="26">
        <v>4</v>
      </c>
      <c r="DQ12" s="53" t="s">
        <v>780</v>
      </c>
      <c r="DR12" s="200">
        <f>BP9</f>
        <v>1</v>
      </c>
      <c r="FG12" s="26">
        <v>4</v>
      </c>
      <c r="FH12" s="14" t="s">
        <v>180</v>
      </c>
      <c r="FI12" s="14" t="s">
        <v>445</v>
      </c>
      <c r="FJ12" s="14" t="s">
        <v>181</v>
      </c>
      <c r="FK12" s="14" t="str">
        <f>SUBSTITUTE(FK10,",",".")</f>
        <v>-0.0823</v>
      </c>
      <c r="FL12" s="10" t="s">
        <v>841</v>
      </c>
      <c r="FM12" s="14">
        <f>ROUND(C30*0.8,1)</f>
        <v>3.7</v>
      </c>
      <c r="FN12" s="14"/>
      <c r="FO12" s="14"/>
      <c r="FP12" s="26">
        <v>4</v>
      </c>
      <c r="FQ12" s="14" t="s">
        <v>180</v>
      </c>
      <c r="FR12" s="14" t="s">
        <v>445</v>
      </c>
      <c r="FS12" s="14" t="s">
        <v>181</v>
      </c>
      <c r="FT12" s="14" t="str">
        <f>SUBSTITUTE(FT10,",",".")</f>
        <v>0.021</v>
      </c>
      <c r="FU12" s="10"/>
      <c r="FV12" s="14"/>
      <c r="FW12" s="14"/>
      <c r="FX12" s="14"/>
    </row>
    <row r="13" spans="1:181" ht="15.95" customHeight="1">
      <c r="A13" s="89"/>
      <c r="B13" s="209"/>
      <c r="C13" s="210"/>
      <c r="D13" s="91"/>
      <c r="E13" s="89"/>
      <c r="F13" s="90"/>
      <c r="G13" s="87" t="str">
        <f>IF(BW33=0,"",BW33)</f>
        <v>M30</v>
      </c>
      <c r="I13" s="5" t="str">
        <f t="shared" si="12"/>
        <v>Mitsubishi</v>
      </c>
      <c r="J13" s="5" t="s">
        <v>552</v>
      </c>
      <c r="K13" s="5" t="s">
        <v>552</v>
      </c>
      <c r="L13" s="40" t="s">
        <v>815</v>
      </c>
      <c r="M13" s="5" t="s">
        <v>552</v>
      </c>
      <c r="N13" s="5" t="s">
        <v>552</v>
      </c>
      <c r="O13" s="5" t="s">
        <v>552</v>
      </c>
      <c r="P13" s="5" t="s">
        <v>552</v>
      </c>
      <c r="Q13" s="5" t="s">
        <v>552</v>
      </c>
      <c r="R13" s="5" t="s">
        <v>552</v>
      </c>
      <c r="S13" s="5" t="s">
        <v>552</v>
      </c>
      <c r="T13" s="5" t="s">
        <v>552</v>
      </c>
      <c r="U13" s="5" t="s">
        <v>552</v>
      </c>
      <c r="V13" s="5" t="s">
        <v>552</v>
      </c>
      <c r="W13" s="5" t="s">
        <v>552</v>
      </c>
      <c r="X13" s="5" t="s">
        <v>552</v>
      </c>
      <c r="Y13" s="43" t="s">
        <v>816</v>
      </c>
      <c r="Z13" s="5" t="s">
        <v>552</v>
      </c>
      <c r="AA13" s="45" t="s">
        <v>817</v>
      </c>
      <c r="AB13" s="5" t="s">
        <v>552</v>
      </c>
      <c r="AD13" s="131">
        <v>12</v>
      </c>
      <c r="AE13" s="262">
        <v>1</v>
      </c>
      <c r="AF13" s="262">
        <v>1</v>
      </c>
      <c r="AG13" s="262">
        <v>1</v>
      </c>
      <c r="AH13" s="263" t="s">
        <v>1511</v>
      </c>
      <c r="AI13" s="249">
        <v>0.125</v>
      </c>
      <c r="AJ13" s="249">
        <v>0.12</v>
      </c>
      <c r="AK13" s="250">
        <v>3</v>
      </c>
      <c r="AL13" s="264">
        <v>0.8</v>
      </c>
      <c r="AM13" s="249">
        <v>0.312</v>
      </c>
      <c r="AN13" s="252">
        <v>2</v>
      </c>
      <c r="AO13" s="265">
        <v>0.1889763779527559</v>
      </c>
      <c r="AP13" s="55">
        <f t="shared" si="0"/>
        <v>12</v>
      </c>
      <c r="AQ13" s="16">
        <f t="shared" si="1"/>
        <v>12</v>
      </c>
      <c r="AR13" s="16" t="b">
        <f t="shared" si="2"/>
        <v>0</v>
      </c>
      <c r="AS13" s="16" t="b">
        <f t="shared" si="3"/>
        <v>0</v>
      </c>
      <c r="AT13" s="16" t="b">
        <f t="shared" si="4"/>
        <v>0</v>
      </c>
      <c r="AU13" s="16" t="b">
        <f t="shared" si="5"/>
        <v>0</v>
      </c>
      <c r="AV13" t="e">
        <f t="shared" si="10"/>
        <v>#N/A</v>
      </c>
      <c r="AW13" t="e">
        <f t="shared" si="6"/>
        <v>#N/A</v>
      </c>
      <c r="AX13" t="e">
        <f t="shared" si="7"/>
        <v>#N/A</v>
      </c>
      <c r="AY13" t="b">
        <f t="shared" si="8"/>
        <v>1</v>
      </c>
      <c r="AZ13" t="str">
        <f t="shared" si="9"/>
        <v/>
      </c>
      <c r="BA13" s="61">
        <v>11</v>
      </c>
      <c r="BB13" s="157">
        <v>330</v>
      </c>
      <c r="BC13" s="272">
        <v>1.6000000000000001E-3</v>
      </c>
      <c r="BD13" s="272">
        <v>3.0999999999999999E-3</v>
      </c>
      <c r="BE13" s="275">
        <f>IF(D22&gt;0,D22,C22)</f>
        <v>0.28499999999999998</v>
      </c>
      <c r="BF13" s="63" t="s">
        <v>618</v>
      </c>
      <c r="BH13" s="11"/>
      <c r="BI13" s="10"/>
      <c r="BK13" s="78"/>
      <c r="BM13" s="65"/>
      <c r="BO13" s="16">
        <v>4</v>
      </c>
      <c r="BP13" s="20">
        <f>BP12+BP7</f>
        <v>2.2500999999999998</v>
      </c>
      <c r="BS13" s="8" t="s">
        <v>1117</v>
      </c>
      <c r="BT13" s="14">
        <f>SUM(BT5:BT11)</f>
        <v>11</v>
      </c>
      <c r="BU13" s="14"/>
      <c r="BV13" s="8"/>
      <c r="CC13" s="23"/>
      <c r="CL13" s="26"/>
      <c r="CM13" s="14"/>
      <c r="CN13" s="14"/>
      <c r="CO13" s="103">
        <f>ROUND(BP49/2,4)</f>
        <v>0.18909999999999999</v>
      </c>
      <c r="CP13" s="103"/>
      <c r="CQ13" s="336">
        <f>-BP55</f>
        <v>0.15629999999999999</v>
      </c>
      <c r="CR13" s="103"/>
      <c r="CS13" s="337">
        <f>ROUND(BP54,4)</f>
        <v>1.5599999999999999E-2</v>
      </c>
      <c r="CT13" s="14"/>
      <c r="CU13" s="14"/>
      <c r="CV13" s="14"/>
      <c r="CW13" s="14"/>
      <c r="DA13" s="26"/>
      <c r="DB13" s="14"/>
      <c r="DC13" s="14"/>
      <c r="DD13" s="103">
        <f>ROUND(BJ51/2,4)</f>
        <v>0.1779</v>
      </c>
      <c r="DE13" s="103"/>
      <c r="DF13" s="101">
        <f>-BP55</f>
        <v>0.15629999999999999</v>
      </c>
      <c r="DG13" s="103"/>
      <c r="DH13" s="336">
        <f>ROUND(BP54,4)</f>
        <v>1.5599999999999999E-2</v>
      </c>
      <c r="DI13" s="14"/>
      <c r="DJ13" s="14"/>
      <c r="DK13" s="14"/>
      <c r="DL13" s="14"/>
      <c r="DM13" s="16"/>
      <c r="DN13" s="16"/>
      <c r="DO13" s="16"/>
      <c r="DP13" s="26"/>
      <c r="FG13" s="26"/>
      <c r="FH13" s="14"/>
      <c r="FI13" s="14"/>
      <c r="FJ13" s="103"/>
      <c r="FK13" s="333">
        <f>-(BP56-C12)</f>
        <v>-0.76559999999999995</v>
      </c>
      <c r="FL13" s="14"/>
      <c r="FM13" s="14"/>
      <c r="FN13" s="14"/>
      <c r="FO13" s="14"/>
      <c r="FP13" s="26"/>
      <c r="FQ13" s="14"/>
      <c r="FR13" s="14"/>
      <c r="FS13" s="103"/>
      <c r="FT13" s="175"/>
      <c r="FU13" s="14"/>
      <c r="FV13" s="14"/>
      <c r="FW13" s="14"/>
      <c r="FX13" s="14"/>
    </row>
    <row r="14" spans="1:181" ht="15.95" customHeight="1">
      <c r="A14" s="89"/>
      <c r="B14" s="209"/>
      <c r="C14" s="211"/>
      <c r="D14" s="92"/>
      <c r="E14" s="89"/>
      <c r="F14" s="90"/>
      <c r="G14" s="87" t="str">
        <f>IF(BW36=0,"",BW36)</f>
        <v/>
      </c>
      <c r="X14" s="38"/>
      <c r="AA14" s="46"/>
      <c r="AD14" s="131">
        <v>13</v>
      </c>
      <c r="AE14" s="262">
        <v>1</v>
      </c>
      <c r="AF14" s="262">
        <v>1</v>
      </c>
      <c r="AG14" s="262">
        <v>1</v>
      </c>
      <c r="AH14" s="263" t="s">
        <v>1512</v>
      </c>
      <c r="AI14" s="249">
        <v>0.125</v>
      </c>
      <c r="AJ14" s="249">
        <v>0.12</v>
      </c>
      <c r="AK14" s="250">
        <v>3</v>
      </c>
      <c r="AL14" s="264">
        <v>0.75</v>
      </c>
      <c r="AM14" s="249">
        <v>0.25</v>
      </c>
      <c r="AN14" s="252">
        <v>2</v>
      </c>
      <c r="AO14" s="265">
        <v>0.16929133858267717</v>
      </c>
      <c r="AP14" s="55">
        <f t="shared" si="0"/>
        <v>13</v>
      </c>
      <c r="AQ14" s="16">
        <f t="shared" si="1"/>
        <v>13</v>
      </c>
      <c r="AR14" s="16" t="b">
        <f t="shared" si="2"/>
        <v>0</v>
      </c>
      <c r="AS14" s="16" t="b">
        <f t="shared" si="3"/>
        <v>0</v>
      </c>
      <c r="AT14" s="16" t="b">
        <f t="shared" si="4"/>
        <v>0</v>
      </c>
      <c r="AU14" s="16" t="b">
        <f t="shared" si="5"/>
        <v>0</v>
      </c>
      <c r="AV14" t="e">
        <f t="shared" si="10"/>
        <v>#N/A</v>
      </c>
      <c r="AW14" t="e">
        <f t="shared" si="6"/>
        <v>#N/A</v>
      </c>
      <c r="AX14" t="e">
        <f t="shared" si="7"/>
        <v>#N/A</v>
      </c>
      <c r="AY14" t="b">
        <f t="shared" si="8"/>
        <v>1</v>
      </c>
      <c r="AZ14" t="str">
        <f t="shared" si="9"/>
        <v/>
      </c>
      <c r="BA14" s="61">
        <v>12</v>
      </c>
      <c r="BB14" s="157">
        <v>260</v>
      </c>
      <c r="BC14" s="272">
        <v>1.1999999999999999E-3</v>
      </c>
      <c r="BD14" s="272">
        <v>2.4000000000000001E-4</v>
      </c>
      <c r="BE14" s="76"/>
      <c r="BF14" s="65"/>
      <c r="BH14" s="11"/>
      <c r="BI14" s="10"/>
      <c r="BK14" s="76"/>
      <c r="BM14" s="65"/>
      <c r="BO14" s="16">
        <v>5</v>
      </c>
      <c r="BP14" s="20">
        <f>BP13+BP7</f>
        <v>3.0000999999999998</v>
      </c>
      <c r="BS14" s="14"/>
      <c r="BT14" s="14"/>
      <c r="BU14" s="14"/>
      <c r="BV14" s="8"/>
      <c r="CC14" s="23"/>
      <c r="CL14" s="25"/>
      <c r="CM14" s="16"/>
      <c r="CN14" s="16"/>
      <c r="CO14" s="102">
        <f>INT(CO13)</f>
        <v>0</v>
      </c>
      <c r="CP14" s="102"/>
      <c r="CQ14" s="102">
        <f>INT(CQ13)</f>
        <v>0</v>
      </c>
      <c r="CR14" s="102"/>
      <c r="CS14" s="102">
        <f>INT(CS13)</f>
        <v>0</v>
      </c>
      <c r="CT14" s="16"/>
      <c r="CU14" s="16"/>
      <c r="CV14" s="16"/>
      <c r="CW14" s="16"/>
      <c r="DD14" s="102">
        <f>INT(DD13)</f>
        <v>0</v>
      </c>
      <c r="DE14" s="102"/>
      <c r="DF14" s="102">
        <f>INT(DF13)</f>
        <v>0</v>
      </c>
      <c r="DG14" s="102"/>
      <c r="DH14" s="102">
        <f>INT(DH13)</f>
        <v>0</v>
      </c>
      <c r="DM14" s="16"/>
      <c r="DN14" s="16"/>
      <c r="DO14" s="16"/>
      <c r="DP14" s="25"/>
      <c r="FG14" s="25"/>
      <c r="FJ14" s="104"/>
      <c r="FK14" s="102">
        <f>INT(FK13)</f>
        <v>-1</v>
      </c>
      <c r="FP14" s="25"/>
      <c r="FS14" s="104"/>
      <c r="FT14" s="102"/>
      <c r="FX14" s="16"/>
    </row>
    <row r="15" spans="1:181" ht="15.95" customHeight="1">
      <c r="A15" s="89"/>
      <c r="B15" s="137"/>
      <c r="C15" s="210"/>
      <c r="D15" s="92"/>
      <c r="E15" s="89"/>
      <c r="F15" s="90"/>
      <c r="G15" s="87" t="str">
        <f>IF(BW39=0,"",BW39)</f>
        <v/>
      </c>
      <c r="X15" s="38"/>
      <c r="AA15" s="46"/>
      <c r="AD15" s="131">
        <v>14</v>
      </c>
      <c r="AE15" s="262">
        <v>1</v>
      </c>
      <c r="AF15" s="262">
        <v>1</v>
      </c>
      <c r="AG15" s="262">
        <v>1</v>
      </c>
      <c r="AH15" s="263" t="s">
        <v>1513</v>
      </c>
      <c r="AI15" s="249">
        <v>0.125</v>
      </c>
      <c r="AJ15" s="249">
        <v>0.115</v>
      </c>
      <c r="AK15" s="250">
        <v>3</v>
      </c>
      <c r="AL15" s="264">
        <v>0.7</v>
      </c>
      <c r="AM15" s="249">
        <v>0.27600000000000002</v>
      </c>
      <c r="AN15" s="252">
        <v>2</v>
      </c>
      <c r="AO15" s="265">
        <v>0.14960629921259844</v>
      </c>
      <c r="AP15" s="55">
        <f t="shared" si="0"/>
        <v>14</v>
      </c>
      <c r="AQ15" s="16">
        <f t="shared" si="1"/>
        <v>14</v>
      </c>
      <c r="AR15" s="16" t="b">
        <f t="shared" si="2"/>
        <v>0</v>
      </c>
      <c r="AS15" s="16" t="b">
        <f t="shared" si="3"/>
        <v>0</v>
      </c>
      <c r="AT15" s="16" t="b">
        <f t="shared" si="4"/>
        <v>0</v>
      </c>
      <c r="AU15" s="16" t="b">
        <f t="shared" si="5"/>
        <v>0</v>
      </c>
      <c r="AV15" t="e">
        <f t="shared" si="10"/>
        <v>#N/A</v>
      </c>
      <c r="AW15" t="e">
        <f t="shared" si="6"/>
        <v>#N/A</v>
      </c>
      <c r="AX15" t="e">
        <f t="shared" si="7"/>
        <v>#N/A</v>
      </c>
      <c r="AY15" t="b">
        <f t="shared" si="8"/>
        <v>1</v>
      </c>
      <c r="AZ15" t="str">
        <f t="shared" si="9"/>
        <v/>
      </c>
      <c r="BA15" s="61">
        <v>13</v>
      </c>
      <c r="BB15" s="157">
        <v>250</v>
      </c>
      <c r="BC15" s="272">
        <v>8.0000000000000004E-4</v>
      </c>
      <c r="BD15" s="272">
        <v>1.6000000000000001E-3</v>
      </c>
      <c r="BE15" s="117">
        <f>IF(D24&gt;0,D24,C24)</f>
        <v>4</v>
      </c>
      <c r="BF15" s="63" t="s">
        <v>620</v>
      </c>
      <c r="BH15" s="11"/>
      <c r="BI15" s="10"/>
      <c r="BK15" s="76"/>
      <c r="BM15" s="65"/>
      <c r="BO15" s="16">
        <v>6</v>
      </c>
      <c r="BP15" s="20">
        <f>BP14+BP7</f>
        <v>3.7500999999999998</v>
      </c>
      <c r="BS15" s="14">
        <v>10111</v>
      </c>
      <c r="BT15" s="14">
        <f t="shared" ref="BT15:BT38" si="13">(IF(BT$13=BS15,BT$13,0))</f>
        <v>0</v>
      </c>
      <c r="BU15" s="14"/>
      <c r="BV15" s="8">
        <v>5</v>
      </c>
      <c r="BW15" s="54" t="str">
        <f>LOOKUP(BT$54,BX$2:CK$2,BX15:CK15)</f>
        <v>G03 X0.1891 Y0.1563 Z0.0156 R0,1591</v>
      </c>
      <c r="BY15" s="23" t="str">
        <f t="shared" si="11"/>
        <v>G03 X0.1891 Y0.1563 Z0.0156 R0,1591</v>
      </c>
      <c r="BZ15" s="23" t="str">
        <f>CONCATENATE(DB15,DC15,DD15,DE15,DF15,DG15,DH15,DI15,DJ15,DK15,DL15)</f>
        <v>G03 X0.1779 Y0.1563 Z0.0156 R0,1576</v>
      </c>
      <c r="CA15" s="23" t="str">
        <f>DQ15</f>
        <v>#2=0</v>
      </c>
      <c r="CB15" s="23" t="str">
        <f>CA15</f>
        <v>#2=0</v>
      </c>
      <c r="CC15" s="23" t="str">
        <f>BY15</f>
        <v>G03 X0.1891 Y0.1563 Z0.0156 R0,1591</v>
      </c>
      <c r="CD15" s="23" t="str">
        <f>BZ15</f>
        <v>G03 X0.1779 Y0.1563 Z0.0156 R0,1576</v>
      </c>
      <c r="CE15" s="23" t="str">
        <f>BY15</f>
        <v>G03 X0.1891 Y0.1563 Z0.0156 R0,1591</v>
      </c>
      <c r="CF15" s="23" t="str">
        <f>BZ15</f>
        <v>G03 X0.1779 Y0.1563 Z0.0156 R0,1576</v>
      </c>
      <c r="CG15" s="23" t="str">
        <f>CONCATENATE(FH15,FI15,FJ15,FK15,FL15,FM15,FN15)</f>
        <v>G90 G00 Z-0.7656</v>
      </c>
      <c r="CH15" s="23" t="str">
        <f>CG15</f>
        <v>G90 G00 Z-0.7656</v>
      </c>
      <c r="CI15" s="23" t="str">
        <f>CG15</f>
        <v>G90 G00 Z-0.7656</v>
      </c>
      <c r="CJ15" s="23" t="str">
        <f>CI15</f>
        <v>G90 G00 Z-0.7656</v>
      </c>
      <c r="CK15" s="23" t="str">
        <f>CONCATENATE(FQ15,FR15,FS15,FT15,FU15,FV15,FW15,FX15,FY15,FZ15,GA15,GB15,GC15,GD15)</f>
        <v>G41 D10 X-0,1425 Y0. F3</v>
      </c>
      <c r="CL15" s="26">
        <v>5</v>
      </c>
      <c r="CM15" s="14" t="s">
        <v>675</v>
      </c>
      <c r="CN15" s="14" t="s">
        <v>674</v>
      </c>
      <c r="CO15" s="14" t="str">
        <f>SUBSTITUTE(CO13,",",".")</f>
        <v>0.1891</v>
      </c>
      <c r="CP15" s="14" t="str">
        <f>IF(CO13=CO14,". Y"," Y")</f>
        <v xml:space="preserve"> Y</v>
      </c>
      <c r="CQ15" s="14" t="str">
        <f>SUBSTITUTE(CQ13,",",".")</f>
        <v>0.1563</v>
      </c>
      <c r="CR15" s="14" t="str">
        <f>IF(CQ13=CQ14,". Z"," Z")</f>
        <v xml:space="preserve"> Z</v>
      </c>
      <c r="CS15" s="14" t="str">
        <f>SUBSTITUTE(CS13,",",".")</f>
        <v>0.0156</v>
      </c>
      <c r="CT15" s="14" t="s">
        <v>839</v>
      </c>
      <c r="CU15" s="14">
        <f>BP52</f>
        <v>0.15909999999999999</v>
      </c>
      <c r="CV15" s="186"/>
      <c r="CW15" s="97"/>
      <c r="CX15" s="14"/>
      <c r="CY15" s="14"/>
      <c r="CZ15" s="14"/>
      <c r="DA15" s="26">
        <v>5</v>
      </c>
      <c r="DB15" s="14" t="s">
        <v>675</v>
      </c>
      <c r="DC15" s="14" t="s">
        <v>674</v>
      </c>
      <c r="DD15" s="14" t="str">
        <f>SUBSTITUTE(DD13,",",".")</f>
        <v>0.1779</v>
      </c>
      <c r="DE15" s="14" t="str">
        <f>IF(DD13=DD14,". Y"," Y")</f>
        <v xml:space="preserve"> Y</v>
      </c>
      <c r="DF15" s="14" t="str">
        <f>SUBSTITUTE(DF13,",",".")</f>
        <v>0.1563</v>
      </c>
      <c r="DG15" s="14" t="str">
        <f>IF(DF13=DF14,". Z"," Z")</f>
        <v xml:space="preserve"> Z</v>
      </c>
      <c r="DH15" s="14" t="str">
        <f>SUBSTITUTE(DH13,",",".")</f>
        <v>0.0156</v>
      </c>
      <c r="DI15" s="14" t="s">
        <v>839</v>
      </c>
      <c r="DJ15" s="14">
        <f>BK51</f>
        <v>0.15759999999999999</v>
      </c>
      <c r="DK15" s="14"/>
      <c r="DL15" s="14"/>
      <c r="DM15" s="14"/>
      <c r="DN15" s="14"/>
      <c r="DO15" s="14"/>
      <c r="DP15" s="26">
        <v>5</v>
      </c>
      <c r="DQ15" s="53" t="s">
        <v>781</v>
      </c>
      <c r="FG15" s="26">
        <v>5</v>
      </c>
      <c r="FH15" s="14" t="s">
        <v>446</v>
      </c>
      <c r="FI15" s="14" t="s">
        <v>175</v>
      </c>
      <c r="FJ15" s="14" t="s">
        <v>181</v>
      </c>
      <c r="FK15" s="14" t="str">
        <f>SUBSTITUTE(FK13,",",".")</f>
        <v>-0.7656</v>
      </c>
      <c r="FL15" s="14" t="str">
        <f>IF(FK13=FK14,".","")</f>
        <v/>
      </c>
      <c r="FM15" s="14"/>
      <c r="FN15" s="14"/>
      <c r="FO15" s="14"/>
      <c r="FP15" s="26">
        <v>5</v>
      </c>
      <c r="FQ15" s="14" t="s">
        <v>1353</v>
      </c>
      <c r="FR15" s="14" t="s">
        <v>644</v>
      </c>
      <c r="FS15" s="186" t="s">
        <v>1073</v>
      </c>
      <c r="FT15" s="10">
        <f>BP64</f>
        <v>-0.14249999999999999</v>
      </c>
      <c r="FU15" s="186" t="s">
        <v>1351</v>
      </c>
      <c r="FV15" s="14" t="s">
        <v>841</v>
      </c>
      <c r="FW15" s="14">
        <f>ROUND(C30*0.6,0)</f>
        <v>3</v>
      </c>
      <c r="FX15" s="97"/>
      <c r="FY15" s="14"/>
    </row>
    <row r="16" spans="1:181" ht="15.95" customHeight="1">
      <c r="A16" s="89"/>
      <c r="B16" s="137"/>
      <c r="C16" s="91"/>
      <c r="D16" s="92"/>
      <c r="E16" s="89"/>
      <c r="F16" s="90"/>
      <c r="G16" s="87" t="str">
        <f>IF(BW42=0,"",BW42)</f>
        <v/>
      </c>
      <c r="X16" s="38"/>
      <c r="AA16" s="46"/>
      <c r="AD16" s="131">
        <v>15</v>
      </c>
      <c r="AE16" s="262">
        <v>1</v>
      </c>
      <c r="AF16" s="262">
        <v>1</v>
      </c>
      <c r="AG16" s="262">
        <v>1</v>
      </c>
      <c r="AH16" s="263" t="s">
        <v>1514</v>
      </c>
      <c r="AI16" s="249">
        <v>0.125</v>
      </c>
      <c r="AJ16" s="249">
        <v>8.5000000000000006E-2</v>
      </c>
      <c r="AK16" s="250">
        <v>3</v>
      </c>
      <c r="AL16" s="264">
        <v>0.5</v>
      </c>
      <c r="AM16" s="249">
        <v>0.17799999999999999</v>
      </c>
      <c r="AN16" s="252">
        <v>2</v>
      </c>
      <c r="AO16" s="265">
        <v>0.11023622047244094</v>
      </c>
      <c r="AP16" s="55">
        <f t="shared" si="0"/>
        <v>15</v>
      </c>
      <c r="AQ16" s="16">
        <f t="shared" si="1"/>
        <v>15</v>
      </c>
      <c r="AR16" s="16" t="b">
        <f t="shared" si="2"/>
        <v>0</v>
      </c>
      <c r="AS16" s="16" t="b">
        <f t="shared" si="3"/>
        <v>0</v>
      </c>
      <c r="AT16" s="16" t="b">
        <f t="shared" si="4"/>
        <v>0</v>
      </c>
      <c r="AU16" s="16" t="b">
        <f t="shared" si="5"/>
        <v>0</v>
      </c>
      <c r="AV16" t="e">
        <f t="shared" si="10"/>
        <v>#N/A</v>
      </c>
      <c r="AW16" t="e">
        <f t="shared" si="6"/>
        <v>#N/A</v>
      </c>
      <c r="AX16" t="e">
        <f t="shared" si="7"/>
        <v>#N/A</v>
      </c>
      <c r="AY16" t="b">
        <f t="shared" si="8"/>
        <v>1</v>
      </c>
      <c r="AZ16" t="str">
        <f t="shared" si="9"/>
        <v/>
      </c>
      <c r="BA16" s="61">
        <v>14</v>
      </c>
      <c r="BB16" s="157">
        <v>200</v>
      </c>
      <c r="BC16" s="272">
        <v>8.0000000000000004E-4</v>
      </c>
      <c r="BD16" s="272">
        <v>1.6000000000000001E-3</v>
      </c>
      <c r="BE16" s="79"/>
      <c r="BF16" s="66"/>
      <c r="BH16" s="11"/>
      <c r="BI16" s="10"/>
      <c r="BK16" s="76"/>
      <c r="BM16" s="65"/>
      <c r="BO16" s="16">
        <v>7</v>
      </c>
      <c r="BP16" s="20">
        <f>BP15+BP7</f>
        <v>4.5000999999999998</v>
      </c>
      <c r="BS16" s="14">
        <v>10112</v>
      </c>
      <c r="BT16" s="14">
        <f t="shared" si="13"/>
        <v>0</v>
      </c>
      <c r="BV16" s="8"/>
      <c r="CL16" s="26"/>
      <c r="CM16" s="14"/>
      <c r="CN16" s="14"/>
      <c r="CO16" s="14"/>
      <c r="CP16" s="14"/>
      <c r="CQ16" s="14"/>
      <c r="CR16" s="14"/>
      <c r="CS16" s="336">
        <f>BL6</f>
        <v>6.25E-2</v>
      </c>
      <c r="CT16" s="103"/>
      <c r="CU16" s="337">
        <f>-ROUND(BP49/2,4)</f>
        <v>-0.18909999999999999</v>
      </c>
      <c r="CV16" s="14"/>
      <c r="CW16" s="14"/>
      <c r="DA16" s="26"/>
      <c r="DB16" s="14"/>
      <c r="DC16" s="14"/>
      <c r="DD16" s="14"/>
      <c r="DE16" s="14"/>
      <c r="DF16" s="14"/>
      <c r="DG16" s="14"/>
      <c r="DH16" s="336">
        <f>BL6</f>
        <v>6.25E-2</v>
      </c>
      <c r="DI16" s="103"/>
      <c r="DJ16" s="103">
        <f>-ROUND(BJ51/2,4)</f>
        <v>-0.1779</v>
      </c>
      <c r="DK16" s="14"/>
      <c r="DL16" s="14"/>
      <c r="DM16" s="16"/>
      <c r="DN16" s="16"/>
      <c r="DO16" s="16"/>
      <c r="DP16" s="26"/>
      <c r="EH16" s="335">
        <f>-ROUND((BP49/2),4)</f>
        <v>-0.18909999999999999</v>
      </c>
      <c r="EJ16" s="14">
        <f>ROUND((BP49/2)+(TAN(1.783*PI()/180)*BL6/4),4)</f>
        <v>0.1895</v>
      </c>
      <c r="EL16" s="14">
        <f>ROUND(BL6/4,4)</f>
        <v>1.5599999999999999E-2</v>
      </c>
      <c r="EN16" s="14">
        <f>-ROUND((BP49/2),4)</f>
        <v>-0.18909999999999999</v>
      </c>
      <c r="EP16" s="14">
        <f>ROUND(TAN(1.783*PI()/180)*BL6/4,4)</f>
        <v>5.0000000000000001E-4</v>
      </c>
      <c r="EV16" s="335">
        <f>-ROUND((BJ51/2),4)</f>
        <v>-0.1779</v>
      </c>
      <c r="EW16" s="335"/>
      <c r="EX16" s="335">
        <f>ROUND((BJ51/2)+(TAN(1.783*PI()/180)*BL6/4),4)</f>
        <v>0.1784</v>
      </c>
      <c r="EY16" s="335"/>
      <c r="EZ16" s="335">
        <f>ROUND(BL6/4,4)</f>
        <v>1.5599999999999999E-2</v>
      </c>
      <c r="FA16" s="335"/>
      <c r="FB16" s="335">
        <f>-ROUND((BJ51/2),4)</f>
        <v>-0.1779</v>
      </c>
      <c r="FC16" s="335"/>
      <c r="FD16" s="335">
        <f>ROUND(TAN(1.783*PI()/180)*BL6/4,4)</f>
        <v>5.0000000000000001E-4</v>
      </c>
      <c r="FE16" s="335"/>
      <c r="FG16" s="26"/>
      <c r="FH16" s="14"/>
      <c r="FI16" s="14"/>
      <c r="FJ16" s="14"/>
      <c r="FK16" s="14"/>
      <c r="FL16" s="14"/>
      <c r="FM16" s="14"/>
      <c r="FN16" s="14"/>
      <c r="FO16" s="14"/>
      <c r="FP16" s="26"/>
      <c r="FQ16" s="14"/>
      <c r="FR16" s="14"/>
      <c r="FS16" s="187">
        <f>ROUND((BP49/2)-BP64,3)</f>
        <v>0.33200000000000002</v>
      </c>
      <c r="FT16" s="14"/>
      <c r="FU16" s="14"/>
      <c r="FV16" s="14"/>
      <c r="FW16" s="14">
        <f>BP63</f>
        <v>3.125E-2</v>
      </c>
      <c r="FX16" s="14"/>
    </row>
    <row r="17" spans="1:186" ht="15.95" customHeight="1">
      <c r="A17" s="89"/>
      <c r="B17" s="137" t="str">
        <f>IF(BP37=3,I66,"")</f>
        <v/>
      </c>
      <c r="C17" s="211" t="str">
        <f>IF(BP37=3,(BP65-C12),"")</f>
        <v/>
      </c>
      <c r="D17" s="92"/>
      <c r="E17" s="89"/>
      <c r="F17" s="90"/>
      <c r="G17" s="87" t="str">
        <f>IF(BW45=0,"",BW45)</f>
        <v/>
      </c>
      <c r="H17" s="16">
        <v>1</v>
      </c>
      <c r="I17" s="142" t="str">
        <f t="shared" ref="I17:I24" si="14">LOOKUP(H$27,J$2:AB$2,J17:AB17)</f>
        <v>M - Metric</v>
      </c>
      <c r="J17" s="142" t="s">
        <v>256</v>
      </c>
      <c r="K17" s="142" t="s">
        <v>1312</v>
      </c>
      <c r="L17" s="142" t="s">
        <v>818</v>
      </c>
      <c r="M17" s="5" t="s">
        <v>143</v>
      </c>
      <c r="N17" s="5" t="s">
        <v>1432</v>
      </c>
      <c r="O17" s="5" t="s">
        <v>1334</v>
      </c>
      <c r="P17" s="5" t="s">
        <v>651</v>
      </c>
      <c r="Q17" s="5" t="s">
        <v>1312</v>
      </c>
      <c r="R17" s="5" t="s">
        <v>158</v>
      </c>
      <c r="S17" s="5" t="s">
        <v>76</v>
      </c>
      <c r="T17" s="5" t="s">
        <v>1444</v>
      </c>
      <c r="U17" s="5" t="s">
        <v>256</v>
      </c>
      <c r="V17" s="5" t="s">
        <v>69</v>
      </c>
      <c r="W17" s="5" t="s">
        <v>158</v>
      </c>
      <c r="X17" s="38" t="s">
        <v>401</v>
      </c>
      <c r="Y17" s="43" t="s">
        <v>819</v>
      </c>
      <c r="Z17" s="39" t="s">
        <v>820</v>
      </c>
      <c r="AA17" s="46" t="s">
        <v>821</v>
      </c>
      <c r="AB17" s="5" t="s">
        <v>1093</v>
      </c>
      <c r="AD17" s="131">
        <v>16</v>
      </c>
      <c r="AE17" s="266">
        <v>1</v>
      </c>
      <c r="AF17" s="266">
        <v>1</v>
      </c>
      <c r="AG17" s="266">
        <v>2</v>
      </c>
      <c r="AH17" s="263" t="s">
        <v>1515</v>
      </c>
      <c r="AI17" s="249">
        <v>0.75</v>
      </c>
      <c r="AJ17" s="249">
        <v>0.745</v>
      </c>
      <c r="AK17" s="250">
        <v>5</v>
      </c>
      <c r="AL17" s="251">
        <v>12</v>
      </c>
      <c r="AM17" s="249">
        <v>1.5</v>
      </c>
      <c r="AN17" s="252">
        <v>4</v>
      </c>
      <c r="AO17" s="263">
        <v>0.98</v>
      </c>
      <c r="AP17" s="55">
        <f t="shared" si="0"/>
        <v>16</v>
      </c>
      <c r="AQ17" s="16" t="b">
        <f t="shared" si="1"/>
        <v>0</v>
      </c>
      <c r="AR17" s="16" t="b">
        <f t="shared" si="2"/>
        <v>0</v>
      </c>
      <c r="AS17" s="16">
        <f t="shared" si="3"/>
        <v>16</v>
      </c>
      <c r="AT17" s="16">
        <f t="shared" si="4"/>
        <v>16</v>
      </c>
      <c r="AU17" s="16" t="b">
        <f t="shared" si="5"/>
        <v>0</v>
      </c>
      <c r="AV17" t="e">
        <f t="shared" si="10"/>
        <v>#N/A</v>
      </c>
      <c r="AW17" t="e">
        <f t="shared" si="6"/>
        <v>#N/A</v>
      </c>
      <c r="AX17" t="e">
        <f t="shared" si="7"/>
        <v>#N/A</v>
      </c>
      <c r="AY17" t="b">
        <f t="shared" si="8"/>
        <v>1</v>
      </c>
      <c r="AZ17" t="str">
        <f t="shared" si="9"/>
        <v/>
      </c>
      <c r="BA17" s="61">
        <v>15</v>
      </c>
      <c r="BB17" s="157">
        <v>190</v>
      </c>
      <c r="BC17" s="272">
        <v>5.9999999999999995E-4</v>
      </c>
      <c r="BD17" s="272">
        <v>1.1999999999999999E-3</v>
      </c>
      <c r="BE17" s="79"/>
      <c r="BF17" s="66"/>
      <c r="BH17" s="11"/>
      <c r="BI17" s="10"/>
      <c r="BK17" s="79"/>
      <c r="BL17" s="9">
        <f>BI65</f>
        <v>7.03</v>
      </c>
      <c r="BM17" s="65"/>
      <c r="BO17" s="16">
        <v>8</v>
      </c>
      <c r="BP17" s="20">
        <f>BP16+BP7</f>
        <v>5.2500999999999998</v>
      </c>
      <c r="BS17" s="14">
        <v>10121</v>
      </c>
      <c r="BT17" s="14">
        <f t="shared" si="13"/>
        <v>0</v>
      </c>
      <c r="BV17" s="8"/>
      <c r="CS17" s="102">
        <f>INT(CS16)</f>
        <v>0</v>
      </c>
      <c r="CT17" s="104"/>
      <c r="CU17" s="102">
        <f>INT(CU16)</f>
        <v>-1</v>
      </c>
      <c r="DA17" s="24"/>
      <c r="DB17"/>
      <c r="DC17"/>
      <c r="DD17"/>
      <c r="DE17"/>
      <c r="DF17"/>
      <c r="DG17"/>
      <c r="DH17" s="102">
        <f>INT(DH16)</f>
        <v>0</v>
      </c>
      <c r="DI17" s="104"/>
      <c r="DJ17" s="102">
        <f>INT(DJ16)</f>
        <v>-1</v>
      </c>
      <c r="DK17"/>
      <c r="DL17"/>
      <c r="DM17" s="16"/>
      <c r="DN17" s="16"/>
      <c r="DO17" s="16"/>
      <c r="EH17" s="16">
        <f>INT(EH16)</f>
        <v>-1</v>
      </c>
      <c r="EJ17" s="16">
        <f>INT(EJ16)</f>
        <v>0</v>
      </c>
      <c r="EL17" s="16">
        <f>INT(EL16)</f>
        <v>0</v>
      </c>
      <c r="EN17" s="16">
        <f>INT(EN16)</f>
        <v>-1</v>
      </c>
      <c r="EP17" s="16">
        <f>INT(EP16)</f>
        <v>0</v>
      </c>
      <c r="EV17" s="16">
        <f>INT(EV16)</f>
        <v>-1</v>
      </c>
      <c r="EX17" s="16">
        <f>INT(EX11)</f>
        <v>0</v>
      </c>
      <c r="EZ17" s="16">
        <f>INT(EZ16)</f>
        <v>0</v>
      </c>
      <c r="FB17" s="16">
        <f>INT(FB16)</f>
        <v>-1</v>
      </c>
      <c r="FD17" s="16">
        <f>INT(FD16)</f>
        <v>0</v>
      </c>
      <c r="FK17" s="16"/>
      <c r="FM17" s="16"/>
      <c r="FS17" s="102">
        <f>INT(FS16)</f>
        <v>0</v>
      </c>
      <c r="FT17" s="16"/>
      <c r="FV17" s="16"/>
      <c r="FW17" s="102">
        <f>INT(FW16)</f>
        <v>0</v>
      </c>
    </row>
    <row r="18" spans="1:186" ht="15.95" customHeight="1">
      <c r="A18" s="89"/>
      <c r="B18" s="137" t="str">
        <f>IF(BP37=1,"",I65)</f>
        <v/>
      </c>
      <c r="C18" s="277" t="str">
        <f>IF(BP37=1,"",(C9+0.3))</f>
        <v/>
      </c>
      <c r="D18" s="91"/>
      <c r="E18" s="89"/>
      <c r="F18" s="90"/>
      <c r="G18" s="87" t="str">
        <f>IF(BW48=0,"",BW48)</f>
        <v/>
      </c>
      <c r="H18" s="16">
        <v>2</v>
      </c>
      <c r="I18" s="5" t="str">
        <f t="shared" si="14"/>
        <v>UN - Unified</v>
      </c>
      <c r="J18" s="5" t="s">
        <v>553</v>
      </c>
      <c r="K18" s="5" t="s">
        <v>553</v>
      </c>
      <c r="L18" s="5" t="s">
        <v>822</v>
      </c>
      <c r="M18" s="5" t="s">
        <v>553</v>
      </c>
      <c r="N18" s="5" t="s">
        <v>553</v>
      </c>
      <c r="O18" s="5" t="s">
        <v>1335</v>
      </c>
      <c r="P18" s="5" t="s">
        <v>652</v>
      </c>
      <c r="Q18" s="5" t="s">
        <v>553</v>
      </c>
      <c r="R18" s="5" t="s">
        <v>553</v>
      </c>
      <c r="S18" s="5" t="s">
        <v>77</v>
      </c>
      <c r="T18" s="5" t="s">
        <v>553</v>
      </c>
      <c r="U18" s="5" t="s">
        <v>1287</v>
      </c>
      <c r="V18" s="5" t="s">
        <v>70</v>
      </c>
      <c r="W18" s="5" t="s">
        <v>553</v>
      </c>
      <c r="X18" s="38" t="s">
        <v>383</v>
      </c>
      <c r="Y18" s="43" t="s">
        <v>823</v>
      </c>
      <c r="Z18" s="39" t="s">
        <v>824</v>
      </c>
      <c r="AA18" s="46" t="s">
        <v>825</v>
      </c>
      <c r="AB18" s="5" t="s">
        <v>1094</v>
      </c>
      <c r="AD18" s="131">
        <v>17</v>
      </c>
      <c r="AE18" s="266">
        <v>1</v>
      </c>
      <c r="AF18" s="266">
        <v>1</v>
      </c>
      <c r="AG18" s="266">
        <v>2</v>
      </c>
      <c r="AH18" s="263" t="s">
        <v>1516</v>
      </c>
      <c r="AI18" s="249">
        <v>0.75</v>
      </c>
      <c r="AJ18" s="249">
        <v>0.745</v>
      </c>
      <c r="AK18" s="250">
        <v>5</v>
      </c>
      <c r="AL18" s="251">
        <v>7</v>
      </c>
      <c r="AM18" s="249">
        <v>1.5720000000000001</v>
      </c>
      <c r="AN18" s="252">
        <v>4.5</v>
      </c>
      <c r="AO18" s="263">
        <v>1.105</v>
      </c>
      <c r="AP18" s="55">
        <f t="shared" si="0"/>
        <v>17</v>
      </c>
      <c r="AQ18" s="16" t="b">
        <f t="shared" si="1"/>
        <v>0</v>
      </c>
      <c r="AR18" s="16" t="b">
        <f t="shared" si="2"/>
        <v>0</v>
      </c>
      <c r="AS18" s="16">
        <f t="shared" si="3"/>
        <v>17</v>
      </c>
      <c r="AT18" s="16">
        <f t="shared" si="4"/>
        <v>17</v>
      </c>
      <c r="AU18" s="16" t="b">
        <f t="shared" si="5"/>
        <v>0</v>
      </c>
      <c r="AV18" t="e">
        <f t="shared" si="10"/>
        <v>#N/A</v>
      </c>
      <c r="AW18" t="e">
        <f t="shared" si="6"/>
        <v>#N/A</v>
      </c>
      <c r="AX18" t="e">
        <f t="shared" si="7"/>
        <v>#N/A</v>
      </c>
      <c r="AY18" t="b">
        <f t="shared" si="8"/>
        <v>1</v>
      </c>
      <c r="AZ18" t="str">
        <f t="shared" si="9"/>
        <v/>
      </c>
      <c r="BA18" s="61">
        <v>16</v>
      </c>
      <c r="BB18" s="157">
        <v>160</v>
      </c>
      <c r="BC18" s="272">
        <v>8.0000000000000004E-4</v>
      </c>
      <c r="BD18" s="272">
        <v>1.6000000000000001E-3</v>
      </c>
      <c r="BE18" s="79"/>
      <c r="BF18" s="66"/>
      <c r="BH18" s="11"/>
      <c r="BI18" s="10"/>
      <c r="BK18" s="79"/>
      <c r="BL18" s="9">
        <f>ROUND(BL17,1)</f>
        <v>7</v>
      </c>
      <c r="BM18" s="65"/>
      <c r="BO18" s="16">
        <v>9</v>
      </c>
      <c r="BP18" s="20">
        <f>BP17+BP7</f>
        <v>6.0000999999999998</v>
      </c>
      <c r="BS18" s="14">
        <v>10122</v>
      </c>
      <c r="BT18" s="14">
        <f t="shared" si="13"/>
        <v>0</v>
      </c>
      <c r="BV18" s="8">
        <v>6</v>
      </c>
      <c r="BW18" s="54" t="str">
        <f>LOOKUP(BT$54,BX$2:CK$2,BX18:CK18)</f>
        <v>G03 X0. Y0. Z0.0625 I-0.1891 J0. F4,6</v>
      </c>
      <c r="BY18" s="23" t="str">
        <f t="shared" si="11"/>
        <v>G03 X0. Y0. Z0.0625 I-0.1891 J0. F4,6</v>
      </c>
      <c r="BZ18" s="23" t="str">
        <f>CONCATENATE(DB18,DC18,DD18,DE18,DF18,DG18,DH18,DI18,DJ18,DK18,DL18,DM18,DN18,DO18)</f>
        <v>G03 X0. Y0. Z0.0625 I-0.1779 J0. F3,8</v>
      </c>
      <c r="CA18" s="23" t="str">
        <f>DQ18</f>
        <v>WHILE[#2LT#1]DO1</v>
      </c>
      <c r="CB18" s="23" t="str">
        <f>CA18</f>
        <v>WHILE[#2LT#1]DO1</v>
      </c>
      <c r="CC18" s="4" t="str">
        <f>CONCATENATE(DV18,DW18)</f>
        <v>#1=12</v>
      </c>
      <c r="CD18" s="23" t="str">
        <f>CC18</f>
        <v>#1=12</v>
      </c>
      <c r="CE18" s="23" t="str">
        <f>CONCATENATE(EF18,EG18,EH18,EI18,EJ18,EK18,EL18,EM18,EN18,EO18,EP18,EQ18,ER18)</f>
        <v>G03 X-0.1891 Y0.1895 Z0.0156 I-0.1891 J0.0005 F4,6</v>
      </c>
      <c r="CF18" s="23" t="str">
        <f>CONCATENATE(ET18,EU18,EV18,EW18,EX18,EY18,EZ18,FA18,FB18,FC18,FD18,FE18,FF18)</f>
        <v>G03 X-0.1779 Y0.1784. Z0.0156 I-0.1779 J0.0005 F3,8</v>
      </c>
      <c r="CG18" s="23" t="str">
        <f>CONCATENATE(FH18,FI18,FJ18,FK18,FL18,FM18,FN18,FO18)</f>
        <v>G91 G41 D10 X0. Y-0,1563 F2,8</v>
      </c>
      <c r="CH18" s="23" t="str">
        <f>CG18</f>
        <v>G91 G41 D10 X0. Y-0,1563 F2,8</v>
      </c>
      <c r="CI18" s="23" t="str">
        <f>CG18</f>
        <v>G91 G41 D10 X0. Y-0,1563 F2,8</v>
      </c>
      <c r="CJ18" s="23" t="str">
        <f>CI18</f>
        <v>G91 G41 D10 X0. Y-0,1563 F2,8</v>
      </c>
      <c r="CK18" s="23" t="str">
        <f>CONCATENATE(FQ18,FR18,FS18,FT18,FU18,FV18,FW18,FX18,FY18,FZ18,GA18,GB18,GC18,GD18)</f>
        <v>G03 X0.332 Y0. Z0.03125 R0,16578</v>
      </c>
      <c r="CL18" s="26">
        <v>6</v>
      </c>
      <c r="CM18" s="14" t="s">
        <v>675</v>
      </c>
      <c r="CN18" s="14" t="s">
        <v>674</v>
      </c>
      <c r="CO18" s="14">
        <v>0</v>
      </c>
      <c r="CP18" s="14" t="s">
        <v>676</v>
      </c>
      <c r="CQ18" s="14">
        <v>0</v>
      </c>
      <c r="CR18" s="14" t="s">
        <v>677</v>
      </c>
      <c r="CS18" s="14" t="str">
        <f>SUBSTITUTE(CS16,",",".")</f>
        <v>0.0625</v>
      </c>
      <c r="CT18" s="14" t="str">
        <f>IF(CS16=CS17,". I"," I")</f>
        <v xml:space="preserve"> I</v>
      </c>
      <c r="CU18" s="14" t="str">
        <f>SUBSTITUTE(CU16,",",".")</f>
        <v>-0.1891</v>
      </c>
      <c r="CV18" s="14" t="str">
        <f>IF(CU16=CU17,". J"," J")</f>
        <v xml:space="preserve"> J</v>
      </c>
      <c r="CW18" s="14">
        <v>0</v>
      </c>
      <c r="CX18" s="16" t="s">
        <v>255</v>
      </c>
      <c r="CY18" s="16" t="s">
        <v>841</v>
      </c>
      <c r="CZ18" s="346">
        <f>C30</f>
        <v>4.5999999999999996</v>
      </c>
      <c r="DA18" s="26">
        <v>6</v>
      </c>
      <c r="DB18" s="14" t="s">
        <v>675</v>
      </c>
      <c r="DC18" s="14" t="s">
        <v>674</v>
      </c>
      <c r="DD18" s="14">
        <v>0</v>
      </c>
      <c r="DE18" s="14" t="s">
        <v>676</v>
      </c>
      <c r="DF18" s="14">
        <v>0</v>
      </c>
      <c r="DG18" s="14" t="s">
        <v>677</v>
      </c>
      <c r="DH18" s="14" t="str">
        <f>SUBSTITUTE(DH16,",",".")</f>
        <v>0.0625</v>
      </c>
      <c r="DI18" s="14" t="str">
        <f>IF(DH16=DH17,". I"," I")</f>
        <v xml:space="preserve"> I</v>
      </c>
      <c r="DJ18" s="14" t="str">
        <f>SUBSTITUTE(DJ16,",",".")</f>
        <v>-0.1779</v>
      </c>
      <c r="DK18" s="14" t="str">
        <f>IF(DJ16=DJ17,". J"," J")</f>
        <v xml:space="preserve"> J</v>
      </c>
      <c r="DL18" s="14">
        <v>0</v>
      </c>
      <c r="DM18" s="16" t="s">
        <v>255</v>
      </c>
      <c r="DN18" s="16" t="s">
        <v>841</v>
      </c>
      <c r="DO18" s="19">
        <f>BM51</f>
        <v>3.8</v>
      </c>
      <c r="DP18" s="26">
        <v>6</v>
      </c>
      <c r="DQ18" s="201" t="s">
        <v>787</v>
      </c>
      <c r="DU18" s="26">
        <v>6</v>
      </c>
      <c r="DV18" s="14" t="s">
        <v>780</v>
      </c>
      <c r="DW18" s="14">
        <f>BP48</f>
        <v>12</v>
      </c>
      <c r="EE18" s="26">
        <v>6</v>
      </c>
      <c r="EF18" s="14" t="s">
        <v>675</v>
      </c>
      <c r="EG18" s="14" t="s">
        <v>674</v>
      </c>
      <c r="EH18" s="14" t="str">
        <f>SUBSTITUTE(EH16,",",".")</f>
        <v>-0.1891</v>
      </c>
      <c r="EI18" s="14" t="str">
        <f>IF(EH16=EH17,". Y"," Y")</f>
        <v xml:space="preserve"> Y</v>
      </c>
      <c r="EJ18" s="14" t="str">
        <f>SUBSTITUTE(EJ16,",",".")</f>
        <v>0.1895</v>
      </c>
      <c r="EK18" s="14" t="str">
        <f>IF(EJ16=EJ17,". Z"," Z")</f>
        <v xml:space="preserve"> Z</v>
      </c>
      <c r="EL18" s="14" t="str">
        <f>SUBSTITUTE(EL16,",",".")</f>
        <v>0.0156</v>
      </c>
      <c r="EM18" s="14" t="str">
        <f>IF(EL16=EL17,". I"," I")</f>
        <v xml:space="preserve"> I</v>
      </c>
      <c r="EN18" s="14" t="str">
        <f>SUBSTITUTE(EN16,",",".")</f>
        <v>-0.1891</v>
      </c>
      <c r="EO18" s="14" t="str">
        <f>IF(EN16=EN17,". J"," J")</f>
        <v xml:space="preserve"> J</v>
      </c>
      <c r="EP18" s="14" t="str">
        <f>SUBSTITUTE(EP16,",",".")</f>
        <v>0.0005</v>
      </c>
      <c r="EQ18" s="14" t="s">
        <v>841</v>
      </c>
      <c r="ER18" s="347">
        <f>C30</f>
        <v>4.5999999999999996</v>
      </c>
      <c r="ES18" s="26">
        <v>6</v>
      </c>
      <c r="ET18" s="14" t="s">
        <v>675</v>
      </c>
      <c r="EU18" s="14" t="s">
        <v>674</v>
      </c>
      <c r="EV18" s="14" t="str">
        <f>SUBSTITUTE(EV16,",",".")</f>
        <v>-0.1779</v>
      </c>
      <c r="EW18" s="14" t="str">
        <f>IF(EV16=EV17,". Y"," Y")</f>
        <v xml:space="preserve"> Y</v>
      </c>
      <c r="EX18" s="14" t="str">
        <f>SUBSTITUTE(EX16,",",".")</f>
        <v>0.1784</v>
      </c>
      <c r="EY18" s="14" t="str">
        <f>IF(EX11=EX12,". Z"," Z")</f>
        <v>. Z</v>
      </c>
      <c r="EZ18" s="14" t="str">
        <f>SUBSTITUTE(EZ16,",",".")</f>
        <v>0.0156</v>
      </c>
      <c r="FA18" s="14" t="str">
        <f>IF(EZ16=EZ17,". I"," I")</f>
        <v xml:space="preserve"> I</v>
      </c>
      <c r="FB18" s="14" t="str">
        <f>SUBSTITUTE(FB16,",",".")</f>
        <v>-0.1779</v>
      </c>
      <c r="FC18" s="14" t="str">
        <f>IF(FB16=FB17,". J"," J")</f>
        <v xml:space="preserve"> J</v>
      </c>
      <c r="FD18" s="14" t="str">
        <f>SUBSTITUTE(FD16,",",".")</f>
        <v>0.0005</v>
      </c>
      <c r="FE18" s="14" t="s">
        <v>841</v>
      </c>
      <c r="FF18" s="14">
        <f>BM51</f>
        <v>3.8</v>
      </c>
      <c r="FG18" s="26">
        <v>6</v>
      </c>
      <c r="FH18" s="14" t="s">
        <v>180</v>
      </c>
      <c r="FI18" s="14" t="s">
        <v>447</v>
      </c>
      <c r="FJ18" s="14" t="s">
        <v>644</v>
      </c>
      <c r="FK18" s="14" t="s">
        <v>1350</v>
      </c>
      <c r="FL18" s="14" t="s">
        <v>1352</v>
      </c>
      <c r="FM18" s="335">
        <f>BP55</f>
        <v>-0.15629999999999999</v>
      </c>
      <c r="FN18" s="10" t="s">
        <v>841</v>
      </c>
      <c r="FO18" s="98">
        <f>ROUND(C30*0.6,1)</f>
        <v>2.8</v>
      </c>
      <c r="FP18" s="26">
        <v>6</v>
      </c>
      <c r="FQ18" s="14" t="s">
        <v>675</v>
      </c>
      <c r="FR18" s="14" t="s">
        <v>674</v>
      </c>
      <c r="FS18" s="14" t="str">
        <f>SUBSTITUTE(FS16,",",".")</f>
        <v>0.332</v>
      </c>
      <c r="FT18" s="14" t="str">
        <f>IF(FS16=FS17,". Y"," Y")</f>
        <v xml:space="preserve"> Y</v>
      </c>
      <c r="FU18" s="14">
        <v>0</v>
      </c>
      <c r="FV18" s="14" t="str">
        <f>IF(FU16=FU17,". Z"," Z")</f>
        <v>. Z</v>
      </c>
      <c r="FW18" s="14" t="str">
        <f>SUBSTITUTE(FW16,",",".")</f>
        <v>0.03125</v>
      </c>
      <c r="FX18" s="14" t="s">
        <v>839</v>
      </c>
      <c r="FY18" s="14">
        <f>BP62</f>
        <v>0.16578000000000001</v>
      </c>
      <c r="GA18" s="97"/>
    </row>
    <row r="19" spans="1:186" ht="15.95" customHeight="1">
      <c r="A19" s="89"/>
      <c r="B19" s="134" t="str">
        <f>I74</f>
        <v>Number of passes, axial</v>
      </c>
      <c r="C19" s="145">
        <f>IF(BP42=5,BP48,BP9)</f>
        <v>1</v>
      </c>
      <c r="D19" s="91"/>
      <c r="E19" s="89"/>
      <c r="F19" s="90"/>
      <c r="G19" s="87" t="str">
        <f>IF(BW51=0,"",BW51)</f>
        <v/>
      </c>
      <c r="H19" s="16">
        <v>3</v>
      </c>
      <c r="I19" s="5" t="str">
        <f t="shared" si="14"/>
        <v>NPT - Tapered Pipe Thread</v>
      </c>
      <c r="J19" s="5" t="s">
        <v>738</v>
      </c>
      <c r="K19" s="5" t="s">
        <v>734</v>
      </c>
      <c r="L19" s="5" t="s">
        <v>826</v>
      </c>
      <c r="M19" s="5" t="s">
        <v>145</v>
      </c>
      <c r="N19" s="5" t="s">
        <v>736</v>
      </c>
      <c r="O19" s="5" t="s">
        <v>1338</v>
      </c>
      <c r="P19" s="5" t="s">
        <v>1329</v>
      </c>
      <c r="Q19" s="5" t="s">
        <v>1120</v>
      </c>
      <c r="R19" s="5" t="s">
        <v>504</v>
      </c>
      <c r="S19" s="5" t="s">
        <v>80</v>
      </c>
      <c r="T19" s="5" t="s">
        <v>1446</v>
      </c>
      <c r="U19" s="5" t="s">
        <v>1289</v>
      </c>
      <c r="V19" s="5" t="s">
        <v>72</v>
      </c>
      <c r="W19" s="5" t="s">
        <v>681</v>
      </c>
      <c r="X19" s="38" t="s">
        <v>386</v>
      </c>
      <c r="Y19" s="136" t="s">
        <v>827</v>
      </c>
      <c r="Z19" s="136" t="s">
        <v>828</v>
      </c>
      <c r="AA19" s="46" t="s">
        <v>829</v>
      </c>
      <c r="AB19" s="5" t="s">
        <v>1048</v>
      </c>
      <c r="AD19" s="131">
        <v>18</v>
      </c>
      <c r="AE19" s="266">
        <v>1</v>
      </c>
      <c r="AF19" s="266">
        <v>1</v>
      </c>
      <c r="AG19" s="266">
        <v>2</v>
      </c>
      <c r="AH19" s="263" t="s">
        <v>1517</v>
      </c>
      <c r="AI19" s="249">
        <v>0.625</v>
      </c>
      <c r="AJ19" s="249">
        <v>0.62</v>
      </c>
      <c r="AK19" s="250">
        <v>4</v>
      </c>
      <c r="AL19" s="251">
        <v>9</v>
      </c>
      <c r="AM19" s="249">
        <v>1.375</v>
      </c>
      <c r="AN19" s="252">
        <v>4</v>
      </c>
      <c r="AO19" s="263">
        <v>0.85499999999999998</v>
      </c>
      <c r="AP19" s="55">
        <f t="shared" si="0"/>
        <v>18</v>
      </c>
      <c r="AQ19" s="16" t="b">
        <f t="shared" si="1"/>
        <v>0</v>
      </c>
      <c r="AR19" s="16" t="b">
        <f t="shared" si="2"/>
        <v>0</v>
      </c>
      <c r="AS19" s="16">
        <f t="shared" si="3"/>
        <v>18</v>
      </c>
      <c r="AT19" s="16">
        <f t="shared" si="4"/>
        <v>18</v>
      </c>
      <c r="AU19" s="16" t="b">
        <f t="shared" si="5"/>
        <v>0</v>
      </c>
      <c r="AV19" t="e">
        <f t="shared" si="10"/>
        <v>#N/A</v>
      </c>
      <c r="AW19" t="e">
        <f t="shared" si="6"/>
        <v>#N/A</v>
      </c>
      <c r="AX19" t="e">
        <f t="shared" si="7"/>
        <v>#N/A</v>
      </c>
      <c r="AY19" t="b">
        <f t="shared" si="8"/>
        <v>1</v>
      </c>
      <c r="AZ19" t="str">
        <f t="shared" si="9"/>
        <v/>
      </c>
      <c r="BA19" s="61">
        <v>17</v>
      </c>
      <c r="BB19" s="157">
        <v>130</v>
      </c>
      <c r="BC19" s="272">
        <v>5.9999999999999995E-4</v>
      </c>
      <c r="BD19" s="272">
        <v>6.9999999999999999E-4</v>
      </c>
      <c r="BE19" s="79"/>
      <c r="BF19" s="66"/>
      <c r="BH19" s="11"/>
      <c r="BI19" s="10"/>
      <c r="BK19" s="79"/>
      <c r="BL19" s="9">
        <f>ROUND(BL17,0)</f>
        <v>7</v>
      </c>
      <c r="BM19" s="65"/>
      <c r="BO19" s="16">
        <v>10</v>
      </c>
      <c r="BP19" s="20">
        <f>BP18+BP7</f>
        <v>6.7500999999999998</v>
      </c>
      <c r="BS19" s="14">
        <v>10131</v>
      </c>
      <c r="BT19" s="14">
        <f t="shared" si="13"/>
        <v>0</v>
      </c>
      <c r="BV19" s="8"/>
      <c r="CL19" s="26"/>
      <c r="CM19" s="14"/>
      <c r="CN19" s="14"/>
      <c r="CO19" s="336">
        <f>-ROUND(BP49/2,4)</f>
        <v>-0.18909999999999999</v>
      </c>
      <c r="CP19" s="103"/>
      <c r="CQ19" s="101">
        <f>-BP55</f>
        <v>0.15629999999999999</v>
      </c>
      <c r="CR19" s="103"/>
      <c r="CS19" s="336">
        <f>ROUND(BP54,4)</f>
        <v>1.5599999999999999E-2</v>
      </c>
      <c r="CT19" s="103"/>
      <c r="CU19" s="103"/>
      <c r="CV19" s="14"/>
      <c r="CW19" s="14"/>
      <c r="DA19" s="26"/>
      <c r="DB19" s="14"/>
      <c r="DC19" s="14"/>
      <c r="DD19" s="103">
        <f>-ROUND(BJ51/2,4)</f>
        <v>-0.1779</v>
      </c>
      <c r="DE19" s="103"/>
      <c r="DF19" s="101">
        <f>-BP55</f>
        <v>0.15629999999999999</v>
      </c>
      <c r="DG19" s="103"/>
      <c r="DH19" s="336">
        <f>ROUND(BP54,4)</f>
        <v>1.5599999999999999E-2</v>
      </c>
      <c r="DI19" s="103"/>
      <c r="DJ19" s="103"/>
      <c r="DK19" s="14"/>
      <c r="DL19" s="14"/>
      <c r="DM19" s="16"/>
      <c r="DN19" s="16"/>
      <c r="DO19" s="16"/>
      <c r="DP19" s="26"/>
      <c r="EH19" s="335">
        <f>-(EJ16+EP16)</f>
        <v>-0.19</v>
      </c>
      <c r="EJ19" s="14">
        <f>-EJ16</f>
        <v>-0.1895</v>
      </c>
      <c r="EL19" s="14">
        <f>EL16</f>
        <v>1.5599999999999999E-2</v>
      </c>
      <c r="EN19" s="14">
        <f>-EP16</f>
        <v>-5.0000000000000001E-4</v>
      </c>
      <c r="EP19" s="14">
        <f>EJ19</f>
        <v>-0.1895</v>
      </c>
      <c r="EV19" s="335">
        <f>-(EX16+FD16)</f>
        <v>-0.1789</v>
      </c>
      <c r="EX19" s="335">
        <f>-EX16</f>
        <v>-0.1784</v>
      </c>
      <c r="EZ19" s="335">
        <f>EZ16</f>
        <v>1.5599999999999999E-2</v>
      </c>
      <c r="FB19" s="335">
        <f>-FD16</f>
        <v>-5.0000000000000001E-4</v>
      </c>
      <c r="FD19" s="335">
        <f>EX19</f>
        <v>-0.1784</v>
      </c>
      <c r="FG19" s="26"/>
      <c r="FH19" s="14"/>
      <c r="FI19" s="14"/>
      <c r="FJ19" s="103"/>
      <c r="FK19" s="103"/>
      <c r="FL19" s="101"/>
      <c r="FM19" s="103"/>
      <c r="FN19" s="103"/>
      <c r="FO19" s="103"/>
      <c r="FP19" s="26"/>
      <c r="FQ19" s="14"/>
      <c r="FR19" s="14"/>
      <c r="FS19" s="103"/>
      <c r="FT19" s="103"/>
      <c r="FU19" s="101"/>
      <c r="FV19" s="103"/>
      <c r="FW19" s="101">
        <f>BL6</f>
        <v>6.25E-2</v>
      </c>
      <c r="FX19" s="14"/>
      <c r="FY19" s="188">
        <f>-ROUND(BP49/2,3)</f>
        <v>-0.189</v>
      </c>
    </row>
    <row r="20" spans="1:186" ht="15.95" customHeight="1">
      <c r="A20" s="89"/>
      <c r="B20" s="137" t="str">
        <f>I73</f>
        <v>Number of passes, radial (max 2)</v>
      </c>
      <c r="C20" s="93">
        <f>BI29</f>
        <v>1</v>
      </c>
      <c r="D20" s="150"/>
      <c r="E20" s="89"/>
      <c r="F20" s="90"/>
      <c r="G20" s="87" t="str">
        <f>IF(BW54=0,"",BW54)</f>
        <v/>
      </c>
      <c r="H20" s="16">
        <v>4</v>
      </c>
      <c r="I20" s="5" t="str">
        <f t="shared" si="14"/>
        <v>NPTF - Dryseal, Tapered Pipe Thread</v>
      </c>
      <c r="J20" s="5" t="s">
        <v>739</v>
      </c>
      <c r="K20" s="5" t="s">
        <v>786</v>
      </c>
      <c r="L20" s="5" t="s">
        <v>842</v>
      </c>
      <c r="M20" s="5" t="s">
        <v>148</v>
      </c>
      <c r="N20" s="5" t="s">
        <v>1372</v>
      </c>
      <c r="O20" s="5" t="s">
        <v>1064</v>
      </c>
      <c r="P20" s="5" t="s">
        <v>654</v>
      </c>
      <c r="Q20" s="5" t="s">
        <v>1121</v>
      </c>
      <c r="R20" s="5" t="s">
        <v>505</v>
      </c>
      <c r="S20" s="5" t="s">
        <v>402</v>
      </c>
      <c r="T20" s="5" t="s">
        <v>1447</v>
      </c>
      <c r="U20" s="5" t="s">
        <v>658</v>
      </c>
      <c r="V20" s="5" t="s">
        <v>73</v>
      </c>
      <c r="W20" s="5" t="s">
        <v>682</v>
      </c>
      <c r="X20" s="38" t="s">
        <v>456</v>
      </c>
      <c r="Y20" s="43" t="s">
        <v>843</v>
      </c>
      <c r="Z20" s="39" t="s">
        <v>844</v>
      </c>
      <c r="AA20" s="46" t="s">
        <v>845</v>
      </c>
      <c r="AB20" s="5" t="s">
        <v>1039</v>
      </c>
      <c r="AD20" s="131">
        <v>19</v>
      </c>
      <c r="AE20" s="266">
        <v>1</v>
      </c>
      <c r="AF20" s="266">
        <v>1</v>
      </c>
      <c r="AG20" s="266">
        <v>2</v>
      </c>
      <c r="AH20" s="263" t="s">
        <v>1518</v>
      </c>
      <c r="AI20" s="249">
        <v>0.625</v>
      </c>
      <c r="AJ20" s="249">
        <v>0.62</v>
      </c>
      <c r="AK20" s="250">
        <v>4</v>
      </c>
      <c r="AL20" s="251">
        <v>8</v>
      </c>
      <c r="AM20" s="249">
        <v>1.375</v>
      </c>
      <c r="AN20" s="252">
        <v>4</v>
      </c>
      <c r="AO20" s="263">
        <v>0.98</v>
      </c>
      <c r="AP20" s="55">
        <f t="shared" si="0"/>
        <v>19</v>
      </c>
      <c r="AQ20" s="16" t="b">
        <f t="shared" si="1"/>
        <v>0</v>
      </c>
      <c r="AR20" s="16" t="b">
        <f t="shared" si="2"/>
        <v>0</v>
      </c>
      <c r="AS20" s="16">
        <f t="shared" si="3"/>
        <v>19</v>
      </c>
      <c r="AT20" s="16">
        <f t="shared" si="4"/>
        <v>19</v>
      </c>
      <c r="AU20" s="16" t="b">
        <f t="shared" si="5"/>
        <v>0</v>
      </c>
      <c r="AV20" t="e">
        <f t="shared" si="10"/>
        <v>#N/A</v>
      </c>
      <c r="AW20" t="e">
        <f t="shared" si="6"/>
        <v>#N/A</v>
      </c>
      <c r="AX20" t="e">
        <f t="shared" si="7"/>
        <v>#N/A</v>
      </c>
      <c r="AY20" t="b">
        <f t="shared" si="8"/>
        <v>1</v>
      </c>
      <c r="AZ20" t="str">
        <f t="shared" si="9"/>
        <v/>
      </c>
      <c r="BA20" s="61">
        <v>18</v>
      </c>
      <c r="BB20" s="157">
        <v>95</v>
      </c>
      <c r="BC20" s="272">
        <v>2.9999999999999997E-4</v>
      </c>
      <c r="BD20" s="272">
        <v>4.0000000000000002E-4</v>
      </c>
      <c r="BE20" s="79"/>
      <c r="BF20" s="66"/>
      <c r="BH20" s="11"/>
      <c r="BI20" s="10"/>
      <c r="BK20" s="79"/>
      <c r="BL20" s="14"/>
      <c r="BM20" s="65"/>
      <c r="BP20" s="20"/>
      <c r="BS20" s="14">
        <v>10132</v>
      </c>
      <c r="BT20" s="14">
        <f t="shared" si="13"/>
        <v>0</v>
      </c>
      <c r="BV20" s="8"/>
      <c r="CO20" s="102">
        <f>INT(CO19)</f>
        <v>-1</v>
      </c>
      <c r="CP20" s="104"/>
      <c r="CQ20" s="102">
        <f>INT(CQ19)</f>
        <v>0</v>
      </c>
      <c r="CR20" s="104"/>
      <c r="CS20" s="102">
        <f>INT(CS19)</f>
        <v>0</v>
      </c>
      <c r="CT20" s="104"/>
      <c r="CU20" s="102"/>
      <c r="DA20" s="24"/>
      <c r="DB20"/>
      <c r="DC20"/>
      <c r="DD20" s="102">
        <f>INT(DD19)</f>
        <v>-1</v>
      </c>
      <c r="DE20" s="104"/>
      <c r="DF20" s="102">
        <f>INT(DF19)</f>
        <v>0</v>
      </c>
      <c r="DG20" s="104"/>
      <c r="DH20" s="102">
        <f>INT(DH19)</f>
        <v>0</v>
      </c>
      <c r="DI20" s="104"/>
      <c r="DJ20" s="102"/>
      <c r="DK20"/>
      <c r="DL20"/>
      <c r="DM20" s="16"/>
      <c r="DN20" s="16"/>
      <c r="DO20" s="16"/>
      <c r="EH20" s="16">
        <f>INT(EH19)</f>
        <v>-1</v>
      </c>
      <c r="EJ20" s="16">
        <f>INT(EJ19)</f>
        <v>-1</v>
      </c>
      <c r="EL20" s="16">
        <f>INT(EL19)</f>
        <v>0</v>
      </c>
      <c r="EN20" s="16">
        <f>INT(EN19)</f>
        <v>-1</v>
      </c>
      <c r="EP20" s="16">
        <f>INT(EP19)</f>
        <v>-1</v>
      </c>
      <c r="EV20" s="16">
        <f>INT(EV19)</f>
        <v>-1</v>
      </c>
      <c r="EX20" s="16">
        <f>INT(EX19)</f>
        <v>-1</v>
      </c>
      <c r="EZ20" s="16">
        <f>INT(EZ19)</f>
        <v>0</v>
      </c>
      <c r="FB20" s="16">
        <f>INT(FB19)</f>
        <v>-1</v>
      </c>
      <c r="FD20" s="16">
        <f>INT(FD19)</f>
        <v>-1</v>
      </c>
      <c r="FJ20" s="102"/>
      <c r="FK20" s="104"/>
      <c r="FL20" s="102"/>
      <c r="FM20" s="104"/>
      <c r="FN20" s="102"/>
      <c r="FO20" s="102"/>
      <c r="FS20" s="102"/>
      <c r="FT20" s="104"/>
      <c r="FU20" s="102"/>
      <c r="FV20" s="104"/>
      <c r="FW20" s="102">
        <f>INT(FW19)</f>
        <v>0</v>
      </c>
      <c r="FY20" s="102">
        <f>INT(FY19)</f>
        <v>-1</v>
      </c>
    </row>
    <row r="21" spans="1:186" ht="15.95" customHeight="1">
      <c r="A21" s="89"/>
      <c r="B21" s="138"/>
      <c r="C21" s="146"/>
      <c r="D21" s="91"/>
      <c r="E21" s="89"/>
      <c r="F21" s="90"/>
      <c r="G21" s="87" t="str">
        <f>IF(BW57=0,"",BW57)</f>
        <v/>
      </c>
      <c r="H21" s="16">
        <v>5</v>
      </c>
      <c r="I21" s="5" t="str">
        <f t="shared" si="14"/>
        <v>G - Whitworth Pipe Thread</v>
      </c>
      <c r="J21" s="5" t="s">
        <v>393</v>
      </c>
      <c r="K21" s="5" t="s">
        <v>391</v>
      </c>
      <c r="L21" s="5" t="s">
        <v>830</v>
      </c>
      <c r="M21" s="5" t="s">
        <v>390</v>
      </c>
      <c r="N21" s="5" t="s">
        <v>394</v>
      </c>
      <c r="O21" s="5" t="s">
        <v>1336</v>
      </c>
      <c r="P21" s="5" t="s">
        <v>657</v>
      </c>
      <c r="Q21" s="5" t="s">
        <v>395</v>
      </c>
      <c r="R21" s="5" t="s">
        <v>502</v>
      </c>
      <c r="S21" s="5" t="s">
        <v>78</v>
      </c>
      <c r="T21" s="5" t="s">
        <v>396</v>
      </c>
      <c r="U21" s="5" t="s">
        <v>397</v>
      </c>
      <c r="V21" s="5" t="s">
        <v>68</v>
      </c>
      <c r="W21" s="5" t="s">
        <v>499</v>
      </c>
      <c r="X21" s="38" t="s">
        <v>384</v>
      </c>
      <c r="Y21" s="136" t="s">
        <v>831</v>
      </c>
      <c r="Z21" s="136" t="s">
        <v>832</v>
      </c>
      <c r="AA21" s="46" t="s">
        <v>833</v>
      </c>
      <c r="AB21" s="5" t="s">
        <v>392</v>
      </c>
      <c r="AD21" s="131">
        <v>20</v>
      </c>
      <c r="AE21" s="266">
        <v>1</v>
      </c>
      <c r="AF21" s="266">
        <v>1</v>
      </c>
      <c r="AG21" s="266">
        <v>2</v>
      </c>
      <c r="AH21" s="263" t="s">
        <v>1519</v>
      </c>
      <c r="AI21" s="249">
        <v>0.5</v>
      </c>
      <c r="AJ21" s="249">
        <v>0.495</v>
      </c>
      <c r="AK21" s="250">
        <v>4</v>
      </c>
      <c r="AL21" s="251">
        <v>12</v>
      </c>
      <c r="AM21" s="249">
        <v>1.25</v>
      </c>
      <c r="AN21" s="252">
        <v>3.5</v>
      </c>
      <c r="AO21" s="263">
        <v>0.73</v>
      </c>
      <c r="AP21" s="55">
        <f t="shared" si="0"/>
        <v>20</v>
      </c>
      <c r="AQ21" s="16" t="b">
        <f t="shared" si="1"/>
        <v>0</v>
      </c>
      <c r="AR21" s="16" t="b">
        <f t="shared" si="2"/>
        <v>0</v>
      </c>
      <c r="AS21" s="16">
        <f t="shared" si="3"/>
        <v>20</v>
      </c>
      <c r="AT21" s="16">
        <f t="shared" si="4"/>
        <v>20</v>
      </c>
      <c r="AU21" s="16" t="b">
        <f t="shared" si="5"/>
        <v>0</v>
      </c>
      <c r="AV21" t="e">
        <f t="shared" si="10"/>
        <v>#N/A</v>
      </c>
      <c r="AW21" t="e">
        <f t="shared" si="6"/>
        <v>#N/A</v>
      </c>
      <c r="AX21" t="e">
        <f t="shared" si="7"/>
        <v>#N/A</v>
      </c>
      <c r="AY21" t="b">
        <f t="shared" si="8"/>
        <v>1</v>
      </c>
      <c r="AZ21" t="str">
        <f t="shared" si="9"/>
        <v/>
      </c>
      <c r="BA21" s="61">
        <v>19</v>
      </c>
      <c r="BB21" s="157">
        <v>200</v>
      </c>
      <c r="BC21" s="272">
        <v>5.9999999999999995E-4</v>
      </c>
      <c r="BD21" s="272">
        <v>8.0000000000000004E-4</v>
      </c>
      <c r="BE21" s="79"/>
      <c r="BF21" s="66"/>
      <c r="BH21" s="11"/>
      <c r="BI21" s="10"/>
      <c r="BK21" s="74" t="s">
        <v>838</v>
      </c>
      <c r="BL21" s="64">
        <f>IF(BL17&gt;=10,BL19,BL18)</f>
        <v>7</v>
      </c>
      <c r="BM21" s="65"/>
      <c r="BS21" s="14">
        <v>1000012</v>
      </c>
      <c r="BT21" s="14">
        <f t="shared" si="13"/>
        <v>0</v>
      </c>
      <c r="BV21" s="8">
        <v>7</v>
      </c>
      <c r="BW21" s="54" t="str">
        <f>LOOKUP(BT$54,BX$2:CK$2,BX21:CK21)</f>
        <v>G03 X-0.1891 Y0.1563 Z0.0156 R0,1591</v>
      </c>
      <c r="BY21" s="23" t="str">
        <f t="shared" si="11"/>
        <v>G03 X-0.1891 Y0.1563 Z0.0156 R0,1591</v>
      </c>
      <c r="BZ21" s="23" t="str">
        <f>CONCATENATE(DB21,DC21,DD21,DE21,DF21,DG21,DH21,DI21,DJ21)</f>
        <v>G03 X-0.1779 Y0.1563 Z0.0156 R0,1576</v>
      </c>
      <c r="CA21" s="23" t="str">
        <f>BY12</f>
        <v>G41 D10 X0. Y-0,1563 F2,3</v>
      </c>
      <c r="CB21" s="23" t="str">
        <f>BZ12</f>
        <v>G41 D60 X0. Y-0,1563 F1,9</v>
      </c>
      <c r="CC21" s="4" t="str">
        <f>CA15</f>
        <v>#2=0</v>
      </c>
      <c r="CD21" s="23" t="str">
        <f>CC21</f>
        <v>#2=0</v>
      </c>
      <c r="CE21" s="23" t="str">
        <f>CONCATENATE(EF21,EG21,EH21,EI21,EJ21,EK21,EL21,EM21,EN21,EO21,EP21,EQ21)</f>
        <v>G03 X-0.19 Y-0.1895 Z0.0156 I-0.0005 J-0.1895</v>
      </c>
      <c r="CF21" s="23" t="str">
        <f>CONCATENATE(ET21,EU21,EV21,EW21,EX21,EY21,EZ21,FA21,FB21,FC21,FD21,FE21)</f>
        <v>G03 X-0.1789 Y-0.1784 Z0.0156 I-0.0005 J-0.1784</v>
      </c>
      <c r="CG21" s="23" t="str">
        <f>BY15</f>
        <v>G03 X0.1891 Y0.1563 Z0.0156 R0,1591</v>
      </c>
      <c r="CH21" s="23" t="str">
        <f>BZ15</f>
        <v>G03 X0.1779 Y0.1563 Z0.0156 R0,1576</v>
      </c>
      <c r="CI21" s="23" t="str">
        <f>CE15</f>
        <v>G03 X0.1891 Y0.1563 Z0.0156 R0,1591</v>
      </c>
      <c r="CJ21" s="23" t="str">
        <f>CF15</f>
        <v>G03 X0.1779 Y0.1563 Z0.0156 R0,1576</v>
      </c>
      <c r="CK21" s="23" t="str">
        <f>CONCATENATE(FQ21,FR21,FS21,FT21,FU21,FV21,FW21,FX21,FY21,FZ21,GA21,GB21,GC21,GD21)</f>
        <v>G03 X0. Y0. Z0.0625 I-0.189 J0. F4,6</v>
      </c>
      <c r="CL21" s="26">
        <v>7</v>
      </c>
      <c r="CM21" s="14" t="s">
        <v>675</v>
      </c>
      <c r="CN21" s="14" t="s">
        <v>674</v>
      </c>
      <c r="CO21" s="14" t="str">
        <f>SUBSTITUTE(CO19,",",".")</f>
        <v>-0.1891</v>
      </c>
      <c r="CP21" s="14" t="str">
        <f>IF(CO19=CO20,". Y"," Y")</f>
        <v xml:space="preserve"> Y</v>
      </c>
      <c r="CQ21" s="14" t="str">
        <f>SUBSTITUTE(CQ19,",",".")</f>
        <v>0.1563</v>
      </c>
      <c r="CR21" s="14" t="str">
        <f>IF(CQ19=CQ20,". Z"," Z")</f>
        <v xml:space="preserve"> Z</v>
      </c>
      <c r="CS21" s="14" t="str">
        <f>SUBSTITUTE(CS19,",",".")</f>
        <v>0.0156</v>
      </c>
      <c r="CT21" s="14" t="s">
        <v>839</v>
      </c>
      <c r="CU21" s="14">
        <f>BP52</f>
        <v>0.15909999999999999</v>
      </c>
      <c r="CV21" s="14"/>
      <c r="CW21" s="14"/>
      <c r="DA21" s="26">
        <v>7</v>
      </c>
      <c r="DB21" s="14" t="s">
        <v>675</v>
      </c>
      <c r="DC21" s="14" t="s">
        <v>674</v>
      </c>
      <c r="DD21" s="14" t="str">
        <f>SUBSTITUTE(DD19,",",".")</f>
        <v>-0.1779</v>
      </c>
      <c r="DE21" s="14" t="str">
        <f>IF(DD19=DD20,". Y"," Y")</f>
        <v xml:space="preserve"> Y</v>
      </c>
      <c r="DF21" s="14" t="str">
        <f>SUBSTITUTE(DF19,",",".")</f>
        <v>0.1563</v>
      </c>
      <c r="DG21" s="14" t="str">
        <f>IF(DF19=DF20,". Z"," Z")</f>
        <v xml:space="preserve"> Z</v>
      </c>
      <c r="DH21" s="14" t="str">
        <f>SUBSTITUTE(DH19,",",".")</f>
        <v>0.0156</v>
      </c>
      <c r="DI21" s="14" t="s">
        <v>839</v>
      </c>
      <c r="DJ21" s="14">
        <f>BK51</f>
        <v>0.15759999999999999</v>
      </c>
      <c r="DK21" s="14"/>
      <c r="DL21" s="14"/>
      <c r="DM21" s="16"/>
      <c r="DN21" s="16"/>
      <c r="DO21" s="16"/>
      <c r="EE21" s="26">
        <v>7</v>
      </c>
      <c r="EF21" s="14" t="s">
        <v>675</v>
      </c>
      <c r="EG21" s="14" t="s">
        <v>674</v>
      </c>
      <c r="EH21" s="14" t="str">
        <f>SUBSTITUTE(EH19,",",".")</f>
        <v>-0.19</v>
      </c>
      <c r="EI21" s="14" t="str">
        <f>IF(EH19=EH20,". Y"," Y")</f>
        <v xml:space="preserve"> Y</v>
      </c>
      <c r="EJ21" s="14" t="str">
        <f>SUBSTITUTE(EJ19,",",".")</f>
        <v>-0.1895</v>
      </c>
      <c r="EK21" s="14" t="str">
        <f>IF(EJ19=EJ20,". Z"," Z")</f>
        <v xml:space="preserve"> Z</v>
      </c>
      <c r="EL21" s="14" t="str">
        <f>SUBSTITUTE(EL19,",",".")</f>
        <v>0.0156</v>
      </c>
      <c r="EM21" s="14" t="str">
        <f>IF(EL19=EL20,". I"," I")</f>
        <v xml:space="preserve"> I</v>
      </c>
      <c r="EN21" s="14" t="str">
        <f>SUBSTITUTE(EN19,",",".")</f>
        <v>-0.0005</v>
      </c>
      <c r="EO21" s="14" t="str">
        <f>IF(EN19=EN20,". J"," J")</f>
        <v xml:space="preserve"> J</v>
      </c>
      <c r="EP21" s="14" t="str">
        <f>SUBSTITUTE(EP19,",",".")</f>
        <v>-0.1895</v>
      </c>
      <c r="EQ21" s="14" t="str">
        <f>IF(EP19=EP20,".","")</f>
        <v/>
      </c>
      <c r="ES21" s="26">
        <v>7</v>
      </c>
      <c r="ET21" s="14" t="s">
        <v>675</v>
      </c>
      <c r="EU21" s="14" t="s">
        <v>674</v>
      </c>
      <c r="EV21" s="14" t="str">
        <f>SUBSTITUTE(EV19,",",".")</f>
        <v>-0.1789</v>
      </c>
      <c r="EW21" s="14" t="str">
        <f>IF(EV19=EV20,". Y"," Y")</f>
        <v xml:space="preserve"> Y</v>
      </c>
      <c r="EX21" s="14" t="str">
        <f>SUBSTITUTE(EX19,",",".")</f>
        <v>-0.1784</v>
      </c>
      <c r="EY21" s="14" t="str">
        <f>IF(EX19=EX20,". Z"," Z")</f>
        <v xml:space="preserve"> Z</v>
      </c>
      <c r="EZ21" s="14" t="str">
        <f>SUBSTITUTE(EZ19,",",".")</f>
        <v>0.0156</v>
      </c>
      <c r="FA21" s="14" t="str">
        <f>IF(EZ19=EZ20,". I"," I")</f>
        <v xml:space="preserve"> I</v>
      </c>
      <c r="FB21" s="14" t="str">
        <f>SUBSTITUTE(FB19,",",".")</f>
        <v>-0.0005</v>
      </c>
      <c r="FC21" s="14" t="str">
        <f>IF(FB19=FB20,". J"," J")</f>
        <v xml:space="preserve"> J</v>
      </c>
      <c r="FD21" s="14" t="str">
        <f>SUBSTITUTE(FD19,",",".")</f>
        <v>-0.1784</v>
      </c>
      <c r="FE21" s="14" t="str">
        <f>IF(FD19=FD20,".","")</f>
        <v/>
      </c>
      <c r="FG21" s="26"/>
      <c r="FH21" s="14"/>
      <c r="FI21" s="14"/>
      <c r="FJ21" s="14"/>
      <c r="FK21" s="14"/>
      <c r="FL21" s="14"/>
      <c r="FM21" s="14"/>
      <c r="FN21" s="14"/>
      <c r="FO21" s="14"/>
      <c r="FP21" s="26">
        <v>7</v>
      </c>
      <c r="FQ21" s="14" t="s">
        <v>675</v>
      </c>
      <c r="FR21" s="14" t="s">
        <v>674</v>
      </c>
      <c r="FS21" s="14">
        <v>0</v>
      </c>
      <c r="FT21" s="14" t="s">
        <v>676</v>
      </c>
      <c r="FU21" s="14">
        <v>0</v>
      </c>
      <c r="FV21" s="186" t="s">
        <v>840</v>
      </c>
      <c r="FW21" s="14" t="str">
        <f>SUBSTITUTE(FW19,",",".")</f>
        <v>0.0625</v>
      </c>
      <c r="FX21" s="14" t="str">
        <f>IF(FW19=FW20,". I"," I")</f>
        <v xml:space="preserve"> I</v>
      </c>
      <c r="FY21" s="14" t="str">
        <f>SUBSTITUTE(FY19,",",".")</f>
        <v>-0.189</v>
      </c>
      <c r="FZ21" s="14" t="str">
        <f>IF(FY19=FY20,". J"," J")</f>
        <v xml:space="preserve"> J</v>
      </c>
      <c r="GA21" s="14">
        <v>0</v>
      </c>
      <c r="GB21" s="16" t="s">
        <v>255</v>
      </c>
      <c r="GC21" s="16" t="s">
        <v>841</v>
      </c>
      <c r="GD21" s="176">
        <f>C30</f>
        <v>4.5999999999999996</v>
      </c>
    </row>
    <row r="22" spans="1:186" ht="15.95" customHeight="1">
      <c r="A22" s="89"/>
      <c r="B22" s="134" t="str">
        <f>I68</f>
        <v>d = cutter diameter (Inch)</v>
      </c>
      <c r="C22" s="276">
        <f>LOOKUP(BE12,AD2:AD235,AJ2:AJ235)</f>
        <v>0.28499999999999998</v>
      </c>
      <c r="D22" s="150"/>
      <c r="E22" s="92"/>
      <c r="F22" s="90"/>
      <c r="G22" s="87" t="str">
        <f>IF(BW60=0,"",BW60)</f>
        <v/>
      </c>
      <c r="H22" s="16">
        <v>6</v>
      </c>
      <c r="I22" s="5" t="str">
        <f t="shared" si="14"/>
        <v>BSPT - Tapered Pipe Thread</v>
      </c>
      <c r="J22" s="5" t="s">
        <v>737</v>
      </c>
      <c r="K22" s="5" t="s">
        <v>733</v>
      </c>
      <c r="L22" s="5" t="s">
        <v>834</v>
      </c>
      <c r="M22" s="5" t="s">
        <v>144</v>
      </c>
      <c r="N22" s="5" t="s">
        <v>735</v>
      </c>
      <c r="O22" s="5" t="s">
        <v>1337</v>
      </c>
      <c r="P22" s="5" t="s">
        <v>653</v>
      </c>
      <c r="Q22" s="5" t="s">
        <v>1119</v>
      </c>
      <c r="R22" s="5" t="s">
        <v>503</v>
      </c>
      <c r="S22" s="5" t="s">
        <v>79</v>
      </c>
      <c r="T22" s="5" t="s">
        <v>1445</v>
      </c>
      <c r="U22" s="5" t="s">
        <v>1288</v>
      </c>
      <c r="V22" s="5" t="s">
        <v>71</v>
      </c>
      <c r="W22" s="5" t="s">
        <v>680</v>
      </c>
      <c r="X22" s="38" t="s">
        <v>385</v>
      </c>
      <c r="Y22" s="136" t="s">
        <v>835</v>
      </c>
      <c r="Z22" s="136" t="s">
        <v>836</v>
      </c>
      <c r="AA22" s="46" t="s">
        <v>837</v>
      </c>
      <c r="AB22" s="5" t="s">
        <v>1095</v>
      </c>
      <c r="AD22" s="131">
        <v>21</v>
      </c>
      <c r="AE22" s="266">
        <v>1</v>
      </c>
      <c r="AF22" s="266">
        <v>1</v>
      </c>
      <c r="AG22" s="266">
        <v>2</v>
      </c>
      <c r="AH22" s="263" t="s">
        <v>1520</v>
      </c>
      <c r="AI22" s="249">
        <v>0.5</v>
      </c>
      <c r="AJ22" s="249">
        <v>0.495</v>
      </c>
      <c r="AK22" s="250">
        <v>4</v>
      </c>
      <c r="AL22" s="251">
        <v>10</v>
      </c>
      <c r="AM22" s="249">
        <v>1.25</v>
      </c>
      <c r="AN22" s="252">
        <v>3.5</v>
      </c>
      <c r="AO22" s="263">
        <v>0.73</v>
      </c>
      <c r="AP22" s="55">
        <f t="shared" si="0"/>
        <v>21</v>
      </c>
      <c r="AQ22" s="16" t="b">
        <f t="shared" si="1"/>
        <v>0</v>
      </c>
      <c r="AR22" s="16" t="b">
        <f t="shared" si="2"/>
        <v>0</v>
      </c>
      <c r="AS22" s="16">
        <f t="shared" si="3"/>
        <v>21</v>
      </c>
      <c r="AT22" s="16">
        <f t="shared" si="4"/>
        <v>21</v>
      </c>
      <c r="AU22" s="16" t="b">
        <f t="shared" si="5"/>
        <v>0</v>
      </c>
      <c r="BA22" s="61">
        <v>20</v>
      </c>
      <c r="BB22" s="157">
        <v>160</v>
      </c>
      <c r="BC22" s="272">
        <v>4.0000000000000002E-4</v>
      </c>
      <c r="BD22" s="272">
        <v>8.0000000000000004E-4</v>
      </c>
      <c r="BE22" s="79"/>
      <c r="BF22" s="66"/>
      <c r="BH22" s="11"/>
      <c r="BI22" s="10"/>
      <c r="BK22" s="76"/>
      <c r="BM22" s="65"/>
      <c r="BS22" s="14">
        <v>1000022</v>
      </c>
      <c r="BT22" s="14">
        <f t="shared" si="13"/>
        <v>0</v>
      </c>
      <c r="BV22" s="8"/>
      <c r="CL22" s="26"/>
      <c r="CM22" s="14"/>
      <c r="CN22" s="14"/>
      <c r="CO22" s="14"/>
      <c r="CP22" s="103">
        <v>0</v>
      </c>
      <c r="CQ22" s="103"/>
      <c r="CR22" s="101">
        <f>BP55</f>
        <v>-0.15629999999999999</v>
      </c>
      <c r="CS22" s="14"/>
      <c r="CT22" s="14"/>
      <c r="CU22" s="14"/>
      <c r="CV22" s="14"/>
      <c r="CW22" s="14"/>
      <c r="DA22" s="26"/>
      <c r="DB22" s="14"/>
      <c r="DC22" s="14"/>
      <c r="DD22" s="14"/>
      <c r="DE22" s="103">
        <v>0</v>
      </c>
      <c r="DF22" s="103"/>
      <c r="DG22" s="101">
        <f>BP55</f>
        <v>-0.15629999999999999</v>
      </c>
      <c r="DH22" s="14"/>
      <c r="DI22" s="14"/>
      <c r="DJ22" s="14"/>
      <c r="DK22" s="14"/>
      <c r="DL22" s="14"/>
      <c r="DM22" s="16"/>
      <c r="DN22" s="16"/>
      <c r="DO22" s="16"/>
      <c r="EH22" s="14">
        <f>-EH19</f>
        <v>0.19</v>
      </c>
      <c r="EJ22" s="14">
        <f>EH19+EN19</f>
        <v>-0.1905</v>
      </c>
      <c r="EL22" s="14">
        <f>EL16</f>
        <v>1.5599999999999999E-2</v>
      </c>
      <c r="EN22" s="14">
        <f>EH22</f>
        <v>0.19</v>
      </c>
      <c r="EP22" s="335">
        <f>-EP16</f>
        <v>-5.0000000000000001E-4</v>
      </c>
      <c r="EV22" s="14">
        <f>-EV19</f>
        <v>0.1789</v>
      </c>
      <c r="EX22" s="335">
        <f>EV19+FB19</f>
        <v>-0.1794</v>
      </c>
      <c r="EZ22" s="335">
        <f>EZ16</f>
        <v>1.5599999999999999E-2</v>
      </c>
      <c r="FB22" s="335">
        <f>EV22</f>
        <v>0.1789</v>
      </c>
      <c r="FD22" s="335">
        <f>-FD16</f>
        <v>-5.0000000000000001E-4</v>
      </c>
      <c r="FG22" s="26"/>
      <c r="FH22" s="14"/>
      <c r="FI22" s="14"/>
      <c r="FJ22" s="14"/>
      <c r="FK22" s="103"/>
      <c r="FL22" s="103"/>
      <c r="FM22" s="101"/>
      <c r="FN22" s="14"/>
      <c r="FO22" s="14"/>
      <c r="FP22" s="26"/>
      <c r="FQ22" s="14"/>
      <c r="FR22" s="14"/>
      <c r="FS22" s="189">
        <f>-ROUND((BP49/2)-BP64,3)</f>
        <v>-0.33200000000000002</v>
      </c>
      <c r="FT22" s="103"/>
      <c r="FU22" s="103"/>
      <c r="FV22" s="101"/>
      <c r="FW22" s="14">
        <f>BP63</f>
        <v>3.125E-2</v>
      </c>
      <c r="FX22" s="14"/>
    </row>
    <row r="23" spans="1:186" ht="15.95" customHeight="1">
      <c r="A23" s="89"/>
      <c r="B23" s="135" t="str">
        <f>I69</f>
        <v>l = length of cutting edge (Inch)</v>
      </c>
      <c r="C23" s="141">
        <f>LOOKUP(BE12,AD2:AD235,AM2:AM235)</f>
        <v>0.75</v>
      </c>
      <c r="D23" s="150"/>
      <c r="E23" s="92"/>
      <c r="F23" s="90"/>
      <c r="G23" s="87" t="str">
        <f>IF(BW63=0,"",BW63)</f>
        <v/>
      </c>
      <c r="H23" s="16">
        <v>7</v>
      </c>
      <c r="I23" s="5" t="str">
        <f t="shared" si="14"/>
        <v>NPSF - Pipe Thread</v>
      </c>
      <c r="J23" s="5" t="s">
        <v>1314</v>
      </c>
      <c r="K23" s="5" t="s">
        <v>1313</v>
      </c>
      <c r="L23" s="5" t="s">
        <v>846</v>
      </c>
      <c r="M23" s="5" t="s">
        <v>149</v>
      </c>
      <c r="N23" s="5" t="s">
        <v>615</v>
      </c>
      <c r="O23" s="5" t="s">
        <v>1339</v>
      </c>
      <c r="P23" s="5" t="s">
        <v>655</v>
      </c>
      <c r="Q23" s="5" t="s">
        <v>1122</v>
      </c>
      <c r="R23" s="5" t="s">
        <v>506</v>
      </c>
      <c r="S23" s="5" t="s">
        <v>403</v>
      </c>
      <c r="T23" s="5" t="s">
        <v>490</v>
      </c>
      <c r="U23" s="5" t="s">
        <v>688</v>
      </c>
      <c r="V23" s="5" t="s">
        <v>74</v>
      </c>
      <c r="W23" s="5" t="s">
        <v>603</v>
      </c>
      <c r="X23" s="38" t="s">
        <v>457</v>
      </c>
      <c r="Y23" s="43" t="s">
        <v>847</v>
      </c>
      <c r="Z23" s="39" t="s">
        <v>848</v>
      </c>
      <c r="AA23" s="46" t="s">
        <v>849</v>
      </c>
      <c r="AB23" s="5" t="s">
        <v>1040</v>
      </c>
      <c r="AD23" s="131">
        <v>22</v>
      </c>
      <c r="AE23" s="266">
        <v>1</v>
      </c>
      <c r="AF23" s="266">
        <v>1</v>
      </c>
      <c r="AG23" s="266">
        <v>2</v>
      </c>
      <c r="AH23" s="263" t="s">
        <v>1521</v>
      </c>
      <c r="AI23" s="249">
        <v>0.5</v>
      </c>
      <c r="AJ23" s="249">
        <v>0.49</v>
      </c>
      <c r="AK23" s="250">
        <v>4</v>
      </c>
      <c r="AL23" s="251">
        <v>16</v>
      </c>
      <c r="AM23" s="249">
        <v>1.25</v>
      </c>
      <c r="AN23" s="252">
        <v>3.5</v>
      </c>
      <c r="AO23" s="263">
        <v>0.73</v>
      </c>
      <c r="AP23" s="55">
        <f t="shared" si="0"/>
        <v>22</v>
      </c>
      <c r="AQ23" s="16" t="b">
        <f t="shared" si="1"/>
        <v>0</v>
      </c>
      <c r="AR23" s="16">
        <f t="shared" si="2"/>
        <v>22</v>
      </c>
      <c r="AS23" s="16">
        <f t="shared" si="3"/>
        <v>22</v>
      </c>
      <c r="AT23" s="16">
        <f t="shared" si="4"/>
        <v>22</v>
      </c>
      <c r="AU23" s="16" t="b">
        <f t="shared" si="5"/>
        <v>0</v>
      </c>
      <c r="BA23" s="61">
        <v>21</v>
      </c>
      <c r="BB23" s="157">
        <v>95</v>
      </c>
      <c r="BC23" s="272">
        <v>2.0000000000000001E-4</v>
      </c>
      <c r="BD23" s="272">
        <v>2.9999999999999997E-4</v>
      </c>
      <c r="BE23" s="74" t="s">
        <v>762</v>
      </c>
      <c r="BF23" s="281">
        <f>BF3</f>
        <v>1.1999999999999999E-3</v>
      </c>
      <c r="BH23" s="11"/>
      <c r="BI23" s="10"/>
      <c r="BK23" s="74" t="s">
        <v>771</v>
      </c>
      <c r="BL23" s="232">
        <f>IF(BF29=1,BL21*BP9,IF(BF29=2,BN53*BP9,IF(BF29=3,BN57*BP9)))</f>
        <v>7</v>
      </c>
      <c r="BM23" s="65"/>
      <c r="BS23" s="14">
        <v>1000032</v>
      </c>
      <c r="BT23" s="14">
        <f t="shared" si="13"/>
        <v>0</v>
      </c>
      <c r="BV23" s="8"/>
      <c r="CP23" s="102">
        <f>INT(CP22)</f>
        <v>0</v>
      </c>
      <c r="CQ23" s="104"/>
      <c r="CR23" s="102">
        <f>INT(CR22)</f>
        <v>-1</v>
      </c>
      <c r="DA23" s="24"/>
      <c r="DB23"/>
      <c r="DC23"/>
      <c r="DD23"/>
      <c r="DE23" s="102">
        <f>INT(DE22)</f>
        <v>0</v>
      </c>
      <c r="DF23" s="104"/>
      <c r="DG23" s="102">
        <f>INT(DG22)</f>
        <v>-1</v>
      </c>
      <c r="DH23"/>
      <c r="DI23"/>
      <c r="DJ23"/>
      <c r="DK23"/>
      <c r="DL23"/>
      <c r="DM23" s="16"/>
      <c r="DN23" s="16"/>
      <c r="DO23" s="16"/>
      <c r="EH23" s="16">
        <f>INT(EH22)</f>
        <v>0</v>
      </c>
      <c r="EJ23" s="16">
        <f>INT(EJ22)</f>
        <v>-1</v>
      </c>
      <c r="EL23" s="16">
        <f>INT(EL22)</f>
        <v>0</v>
      </c>
      <c r="EN23" s="16">
        <f>INT(EN22)</f>
        <v>0</v>
      </c>
      <c r="EP23" s="16">
        <f>INT(EP22)</f>
        <v>-1</v>
      </c>
      <c r="EV23" s="16">
        <f>INT(EV22)</f>
        <v>0</v>
      </c>
      <c r="EX23" s="16">
        <f>INT(EX22)</f>
        <v>-1</v>
      </c>
      <c r="EZ23" s="16">
        <f>INT(EZ22)</f>
        <v>0</v>
      </c>
      <c r="FB23" s="16">
        <f>INT(FB22)</f>
        <v>0</v>
      </c>
      <c r="FD23" s="16">
        <f>INT(FD22)</f>
        <v>-1</v>
      </c>
      <c r="FK23" s="102"/>
      <c r="FL23" s="104"/>
      <c r="FM23" s="102"/>
      <c r="FS23" s="102">
        <f>INT(FS22)</f>
        <v>-1</v>
      </c>
      <c r="FT23" s="102"/>
      <c r="FU23" s="104"/>
      <c r="FV23" s="102"/>
      <c r="FW23" s="102">
        <f>INT(FW22)</f>
        <v>0</v>
      </c>
    </row>
    <row r="24" spans="1:186" ht="15.95" customHeight="1">
      <c r="A24" s="89"/>
      <c r="B24" s="135" t="str">
        <f>I70</f>
        <v>z = number of flutes</v>
      </c>
      <c r="C24" s="139">
        <f>LOOKUP(BE12,AD2:AD235,AK2:AK235)</f>
        <v>4</v>
      </c>
      <c r="D24" s="150"/>
      <c r="E24" s="92"/>
      <c r="F24" s="90"/>
      <c r="G24" s="87" t="str">
        <f>IF(BW66=0,"",BW66)</f>
        <v/>
      </c>
      <c r="H24" s="16">
        <v>8</v>
      </c>
      <c r="I24" s="5" t="str">
        <f t="shared" si="14"/>
        <v>PG - Panzerrohrgewinde</v>
      </c>
      <c r="J24" s="5" t="s">
        <v>128</v>
      </c>
      <c r="K24" s="5" t="s">
        <v>128</v>
      </c>
      <c r="L24" s="5" t="s">
        <v>850</v>
      </c>
      <c r="M24" s="5" t="s">
        <v>150</v>
      </c>
      <c r="N24" s="5" t="s">
        <v>128</v>
      </c>
      <c r="O24" s="5" t="s">
        <v>1065</v>
      </c>
      <c r="P24" s="5" t="s">
        <v>656</v>
      </c>
      <c r="Q24" s="5" t="s">
        <v>128</v>
      </c>
      <c r="R24" s="5" t="s">
        <v>450</v>
      </c>
      <c r="S24" s="5" t="s">
        <v>404</v>
      </c>
      <c r="T24" s="5" t="s">
        <v>128</v>
      </c>
      <c r="U24" s="5" t="s">
        <v>689</v>
      </c>
      <c r="V24" s="5" t="s">
        <v>75</v>
      </c>
      <c r="W24" s="5" t="s">
        <v>556</v>
      </c>
      <c r="X24" s="38" t="s">
        <v>458</v>
      </c>
      <c r="Y24" s="43" t="s">
        <v>851</v>
      </c>
      <c r="Z24" s="39" t="s">
        <v>852</v>
      </c>
      <c r="AA24" s="46" t="s">
        <v>853</v>
      </c>
      <c r="AB24" s="5" t="s">
        <v>128</v>
      </c>
      <c r="AD24" s="131">
        <v>23</v>
      </c>
      <c r="AE24" s="266">
        <v>1</v>
      </c>
      <c r="AF24" s="266">
        <v>1</v>
      </c>
      <c r="AG24" s="266">
        <v>2</v>
      </c>
      <c r="AH24" s="263" t="s">
        <v>1522</v>
      </c>
      <c r="AI24" s="249">
        <v>0.5</v>
      </c>
      <c r="AJ24" s="249">
        <v>0.49</v>
      </c>
      <c r="AK24" s="250">
        <v>4</v>
      </c>
      <c r="AL24" s="251">
        <v>14</v>
      </c>
      <c r="AM24" s="249">
        <v>1.25</v>
      </c>
      <c r="AN24" s="252">
        <v>3.5</v>
      </c>
      <c r="AO24" s="263">
        <v>0.85499999999999998</v>
      </c>
      <c r="AP24" s="55">
        <f t="shared" si="0"/>
        <v>23</v>
      </c>
      <c r="AQ24" s="16" t="b">
        <f t="shared" si="1"/>
        <v>0</v>
      </c>
      <c r="AR24" s="16" t="b">
        <f t="shared" si="2"/>
        <v>0</v>
      </c>
      <c r="AS24" s="16">
        <f t="shared" si="3"/>
        <v>23</v>
      </c>
      <c r="AT24" s="16">
        <f t="shared" si="4"/>
        <v>23</v>
      </c>
      <c r="AU24" s="16" t="b">
        <f t="shared" si="5"/>
        <v>0</v>
      </c>
      <c r="BA24" s="61">
        <v>22</v>
      </c>
      <c r="BB24" s="157">
        <v>590</v>
      </c>
      <c r="BC24" s="272">
        <v>2E-3</v>
      </c>
      <c r="BD24" s="272">
        <v>2.8E-3</v>
      </c>
      <c r="BE24" s="74" t="s">
        <v>624</v>
      </c>
      <c r="BF24" s="281">
        <f>BF23*1.25</f>
        <v>1.4999999999999998E-3</v>
      </c>
      <c r="BH24" s="11"/>
      <c r="BI24" s="10"/>
      <c r="BK24" s="76"/>
      <c r="BL24" s="14">
        <f>IF(D23&gt;0,BL23/BP9,BL23)</f>
        <v>7</v>
      </c>
      <c r="BM24" s="65"/>
      <c r="BO24">
        <f>(60*PI()*C9)/C29</f>
        <v>3.720307089777386</v>
      </c>
      <c r="BS24" s="14">
        <v>1000112</v>
      </c>
      <c r="BT24" s="14">
        <f t="shared" si="13"/>
        <v>0</v>
      </c>
      <c r="BV24" s="8">
        <v>8</v>
      </c>
      <c r="BW24" s="54" t="str">
        <f>LOOKUP(BT$54,BX$2:CK$2,BX24:CK24)</f>
        <v>G00 G40 X0. Y-0.1563</v>
      </c>
      <c r="BY24" s="23" t="str">
        <f t="shared" si="11"/>
        <v>G00 G40 X0. Y-0.1563</v>
      </c>
      <c r="BZ24" s="23" t="str">
        <f>CONCATENATE(DB24,DC24,DD24,DE24,DF24,DG24,DH24)</f>
        <v>G00 G40 X0. Y-0.1563</v>
      </c>
      <c r="CA24" s="23" t="str">
        <f>BY15</f>
        <v>G03 X0.1891 Y0.1563 Z0.0156 R0,1591</v>
      </c>
      <c r="CB24" s="23" t="str">
        <f>BZ15</f>
        <v>G03 X0.1779 Y0.1563 Z0.0156 R0,1576</v>
      </c>
      <c r="CC24" s="4" t="str">
        <f>CA18</f>
        <v>WHILE[#2LT#1]DO1</v>
      </c>
      <c r="CD24" s="23" t="str">
        <f>CC24</f>
        <v>WHILE[#2LT#1]DO1</v>
      </c>
      <c r="CE24" s="23" t="str">
        <f>CONCATENATE(EF24,EG24,EH24,EI24,EJ24,EK24,EL24,EM24,EN24,EO24,EP24,EQ24)</f>
        <v>G03 X0.19 Y-0.1905 Z0.0156 I0.19 J-0.0005</v>
      </c>
      <c r="CF24" s="23" t="str">
        <f>CONCATENATE(ET24,EU24,EV24,EW24,EX24,EY24,EZ24,FA24,FB24,FC24,FD24,FE24)</f>
        <v>G03 X0.1789 Y-0.1794 Z0.0156 I0.1789 J-0.0005</v>
      </c>
      <c r="CG24" s="23" t="str">
        <f>BY18</f>
        <v>G03 X0. Y0. Z0.0625 I-0.1891 J0. F4,6</v>
      </c>
      <c r="CH24" s="23" t="str">
        <f>BZ18</f>
        <v>G03 X0. Y0. Z0.0625 I-0.1779 J0. F3,8</v>
      </c>
      <c r="CI24" s="23" t="str">
        <f>CE18</f>
        <v>G03 X-0.1891 Y0.1895 Z0.0156 I-0.1891 J0.0005 F4,6</v>
      </c>
      <c r="CJ24" s="23" t="str">
        <f>CF18</f>
        <v>G03 X-0.1779 Y0.1784. Z0.0156 I-0.1779 J0.0005 F3,8</v>
      </c>
      <c r="CK24" s="23" t="str">
        <f>CONCATENATE(FQ24,FR24,FS24,FT24,FU24,FV24,FW24,FX24,FY24,FZ24,GA24,GB24,GC24,GD24)</f>
        <v>G03 X-0.332 Y0. Z0.03125 R0,16578</v>
      </c>
      <c r="CL24" s="26">
        <v>8</v>
      </c>
      <c r="CM24" s="14" t="s">
        <v>854</v>
      </c>
      <c r="CN24" s="14" t="s">
        <v>671</v>
      </c>
      <c r="CO24" s="14" t="s">
        <v>674</v>
      </c>
      <c r="CP24" s="14" t="str">
        <f>SUBSTITUTE(CP22,",",".")</f>
        <v>0</v>
      </c>
      <c r="CQ24" s="14" t="str">
        <f>IF(CP22=CP23,". Y"," Y")</f>
        <v>. Y</v>
      </c>
      <c r="CR24" s="14" t="str">
        <f>SUBSTITUTE(CR22,",",".")</f>
        <v>-0.1563</v>
      </c>
      <c r="CS24" s="14" t="str">
        <f>IF(CR22=CR23,".","")</f>
        <v/>
      </c>
      <c r="CT24" s="14"/>
      <c r="CU24" s="14"/>
      <c r="CV24" s="14"/>
      <c r="CW24" s="14"/>
      <c r="DA24" s="26">
        <v>8</v>
      </c>
      <c r="DB24" s="14" t="s">
        <v>854</v>
      </c>
      <c r="DC24" s="14" t="s">
        <v>671</v>
      </c>
      <c r="DD24" s="14" t="s">
        <v>674</v>
      </c>
      <c r="DE24" s="14" t="str">
        <f>SUBSTITUTE(DE22,",",".")</f>
        <v>0</v>
      </c>
      <c r="DF24" s="14" t="str">
        <f>IF(DE22=DE23,". Y"," Y")</f>
        <v>. Y</v>
      </c>
      <c r="DG24" s="14" t="str">
        <f>SUBSTITUTE(DG22,",",".")</f>
        <v>-0.1563</v>
      </c>
      <c r="DH24" s="14" t="str">
        <f>IF(DG22=DG23,".","")</f>
        <v/>
      </c>
      <c r="DI24" s="14"/>
      <c r="DJ24" s="14"/>
      <c r="DK24" s="14"/>
      <c r="DL24" s="14"/>
      <c r="DM24" s="16"/>
      <c r="DN24" s="16"/>
      <c r="DO24" s="16"/>
      <c r="EE24" s="26">
        <v>8</v>
      </c>
      <c r="EF24" s="14" t="s">
        <v>675</v>
      </c>
      <c r="EG24" s="14" t="s">
        <v>674</v>
      </c>
      <c r="EH24" s="14" t="str">
        <f>SUBSTITUTE(EH22,",",".")</f>
        <v>0.19</v>
      </c>
      <c r="EI24" s="14" t="str">
        <f>IF(EH22=EH23,". Y"," Y")</f>
        <v xml:space="preserve"> Y</v>
      </c>
      <c r="EJ24" s="14" t="str">
        <f>SUBSTITUTE(EJ22,",",".")</f>
        <v>-0.1905</v>
      </c>
      <c r="EK24" s="14" t="str">
        <f>IF(EJ22=EJ23,". Z"," Z")</f>
        <v xml:space="preserve"> Z</v>
      </c>
      <c r="EL24" s="14" t="str">
        <f>SUBSTITUTE(EL22,",",".")</f>
        <v>0.0156</v>
      </c>
      <c r="EM24" s="14" t="str">
        <f>IF(EL22=EL23,". I"," I")</f>
        <v xml:space="preserve"> I</v>
      </c>
      <c r="EN24" s="14" t="str">
        <f>SUBSTITUTE(EN22,",",".")</f>
        <v>0.19</v>
      </c>
      <c r="EO24" s="14" t="str">
        <f>IF(EN22=EN23,". J"," J")</f>
        <v xml:space="preserve"> J</v>
      </c>
      <c r="EP24" s="14" t="str">
        <f>SUBSTITUTE(EP22,",",".")</f>
        <v>-0.0005</v>
      </c>
      <c r="EQ24" s="14" t="str">
        <f>IF(EP22=EP23,".","")</f>
        <v/>
      </c>
      <c r="ES24" s="26">
        <v>8</v>
      </c>
      <c r="ET24" s="14" t="s">
        <v>675</v>
      </c>
      <c r="EU24" s="14" t="s">
        <v>674</v>
      </c>
      <c r="EV24" s="14" t="str">
        <f>SUBSTITUTE(EV22,",",".")</f>
        <v>0.1789</v>
      </c>
      <c r="EW24" s="14" t="str">
        <f>IF(EV22=EV23,". Y"," Y")</f>
        <v xml:space="preserve"> Y</v>
      </c>
      <c r="EX24" s="14" t="str">
        <f>SUBSTITUTE(EX22,",",".")</f>
        <v>-0.1794</v>
      </c>
      <c r="EY24" s="14" t="str">
        <f>IF(EX22=EX23,". Z"," Z")</f>
        <v xml:space="preserve"> Z</v>
      </c>
      <c r="EZ24" s="14" t="str">
        <f>SUBSTITUTE(EZ22,",",".")</f>
        <v>0.0156</v>
      </c>
      <c r="FA24" s="14" t="str">
        <f>IF(EZ22=EZ23,". I"," I")</f>
        <v xml:space="preserve"> I</v>
      </c>
      <c r="FB24" s="14" t="str">
        <f>SUBSTITUTE(FB22,",",".")</f>
        <v>0.1789</v>
      </c>
      <c r="FC24" s="14" t="str">
        <f>IF(FB22=FB23,". J"," J")</f>
        <v xml:space="preserve"> J</v>
      </c>
      <c r="FD24" s="14" t="str">
        <f>SUBSTITUTE(FD22,",",".")</f>
        <v>-0.0005</v>
      </c>
      <c r="FE24" s="14" t="str">
        <f>IF(FD22=FD23,".","")</f>
        <v/>
      </c>
      <c r="FG24" s="26"/>
      <c r="FH24" s="14"/>
      <c r="FI24" s="14"/>
      <c r="FJ24" s="14"/>
      <c r="FK24" s="14"/>
      <c r="FL24" s="14"/>
      <c r="FM24" s="14"/>
      <c r="FN24" s="14"/>
      <c r="FO24" s="14"/>
      <c r="FP24" s="26">
        <v>8</v>
      </c>
      <c r="FQ24" s="14" t="s">
        <v>675</v>
      </c>
      <c r="FR24" s="14" t="s">
        <v>674</v>
      </c>
      <c r="FS24" s="14" t="str">
        <f>SUBSTITUTE(FS22,",",".")</f>
        <v>-0.332</v>
      </c>
      <c r="FT24" s="14" t="str">
        <f>IF(FS22=FS23,". Y"," Y")</f>
        <v xml:space="preserve"> Y</v>
      </c>
      <c r="FU24" s="14">
        <v>0</v>
      </c>
      <c r="FV24" s="14" t="str">
        <f>IF(FU22=FU23,". Z"," Z")</f>
        <v>. Z</v>
      </c>
      <c r="FW24" s="14" t="str">
        <f>SUBSTITUTE(FW22,",",".")</f>
        <v>0.03125</v>
      </c>
      <c r="FX24" s="14" t="s">
        <v>839</v>
      </c>
      <c r="FY24" s="14">
        <f>BP62</f>
        <v>0.16578000000000001</v>
      </c>
    </row>
    <row r="25" spans="1:186" ht="15.95" customHeight="1">
      <c r="A25" s="89"/>
      <c r="B25" s="135" t="str">
        <f>I71</f>
        <v>V = cutting speed (SFM)</v>
      </c>
      <c r="C25" s="140">
        <f>BE3</f>
        <v>295</v>
      </c>
      <c r="D25" s="150"/>
      <c r="E25" s="92"/>
      <c r="F25" s="90"/>
      <c r="G25" s="87" t="str">
        <f>IF(BW69=0,"",BW69)</f>
        <v/>
      </c>
      <c r="X25" s="38"/>
      <c r="Y25" s="136"/>
      <c r="Z25" s="136"/>
      <c r="AA25" s="46"/>
      <c r="AD25" s="131">
        <v>24</v>
      </c>
      <c r="AE25" s="266">
        <v>1</v>
      </c>
      <c r="AF25" s="266">
        <v>1</v>
      </c>
      <c r="AG25" s="266">
        <v>2</v>
      </c>
      <c r="AH25" s="263" t="s">
        <v>1523</v>
      </c>
      <c r="AI25" s="249">
        <v>0.5</v>
      </c>
      <c r="AJ25" s="249">
        <v>0.47</v>
      </c>
      <c r="AK25" s="250">
        <v>4</v>
      </c>
      <c r="AL25" s="251">
        <v>11</v>
      </c>
      <c r="AM25" s="249">
        <v>1.25</v>
      </c>
      <c r="AN25" s="252">
        <v>3.5</v>
      </c>
      <c r="AO25" s="263">
        <v>0.60499999999999998</v>
      </c>
      <c r="AP25" s="55">
        <f t="shared" si="0"/>
        <v>24</v>
      </c>
      <c r="AQ25" s="16" t="b">
        <f t="shared" si="1"/>
        <v>0</v>
      </c>
      <c r="AR25" s="16" t="b">
        <f t="shared" si="2"/>
        <v>0</v>
      </c>
      <c r="AS25" s="16">
        <f t="shared" si="3"/>
        <v>24</v>
      </c>
      <c r="AT25" s="16">
        <f t="shared" si="4"/>
        <v>24</v>
      </c>
      <c r="AU25" s="16" t="b">
        <f t="shared" si="5"/>
        <v>0</v>
      </c>
      <c r="BA25" s="61">
        <v>23</v>
      </c>
      <c r="BB25" s="157">
        <v>450</v>
      </c>
      <c r="BC25" s="272">
        <v>2E-3</v>
      </c>
      <c r="BD25" s="272">
        <v>2.8E-3</v>
      </c>
      <c r="BE25" s="74"/>
      <c r="BF25" s="281"/>
      <c r="BH25" s="11"/>
      <c r="BI25" s="10"/>
      <c r="BK25" s="79"/>
      <c r="BL25" s="9">
        <f>(BP48+0.5)*BL24*0.67</f>
        <v>58.625</v>
      </c>
      <c r="BM25" s="65"/>
      <c r="BO25">
        <f>((60*PI()*2*BP52)/C29)*(2*BP53)/360</f>
        <v>1.7672844284149798</v>
      </c>
      <c r="BS25" s="14">
        <v>1000122</v>
      </c>
      <c r="BT25" s="14">
        <f t="shared" si="13"/>
        <v>0</v>
      </c>
      <c r="BV25" s="8"/>
      <c r="CL25" s="26"/>
      <c r="CM25" s="14"/>
      <c r="CN25" s="14"/>
      <c r="CO25" s="336">
        <f>-CP7-CS13-CS16-CS19</f>
        <v>0.82190000000000007</v>
      </c>
      <c r="CP25" s="14"/>
      <c r="CQ25" s="14"/>
      <c r="CR25" s="14"/>
      <c r="CS25" s="14"/>
      <c r="CT25" s="14"/>
      <c r="CU25" s="14"/>
      <c r="CV25" s="14"/>
      <c r="CW25" s="14"/>
      <c r="DA25" s="26"/>
      <c r="DB25" s="14"/>
      <c r="DC25" s="14"/>
      <c r="DD25" s="10">
        <f>-DH13-DH16-DH19</f>
        <v>-9.3700000000000006E-2</v>
      </c>
      <c r="DE25" s="14"/>
      <c r="DF25" s="14"/>
      <c r="DG25" s="14"/>
      <c r="DH25" s="14"/>
      <c r="DI25" s="14"/>
      <c r="DJ25" s="14"/>
      <c r="DK25" s="14"/>
      <c r="DL25" s="14"/>
      <c r="DM25" s="16"/>
      <c r="DN25" s="16"/>
      <c r="DO25" s="16"/>
      <c r="EH25" s="14">
        <f>-(EJ22+EP22)</f>
        <v>0.191</v>
      </c>
      <c r="EJ25" s="14">
        <f>-EJ22</f>
        <v>0.1905</v>
      </c>
      <c r="EL25" s="14">
        <f>EL16</f>
        <v>1.5599999999999999E-2</v>
      </c>
      <c r="EN25" s="14">
        <f>EP16</f>
        <v>5.0000000000000001E-4</v>
      </c>
      <c r="EP25" s="14">
        <f>EJ25</f>
        <v>0.1905</v>
      </c>
      <c r="EV25" s="335">
        <f>-(EX22+FD22)</f>
        <v>0.1799</v>
      </c>
      <c r="EX25" s="335">
        <f>-EX22</f>
        <v>0.1794</v>
      </c>
      <c r="EZ25" s="335">
        <f>EZ16</f>
        <v>1.5599999999999999E-2</v>
      </c>
      <c r="FB25" s="335">
        <f>FD16</f>
        <v>5.0000000000000001E-4</v>
      </c>
      <c r="FD25" s="335">
        <f>EX25</f>
        <v>0.1794</v>
      </c>
      <c r="FG25" s="26"/>
      <c r="FH25" s="14"/>
      <c r="FI25" s="14"/>
      <c r="FJ25" s="101"/>
      <c r="FK25" s="14"/>
      <c r="FL25" s="14"/>
      <c r="FM25" s="14"/>
      <c r="FN25" s="14"/>
      <c r="FO25" s="14"/>
      <c r="FP25" s="26"/>
      <c r="FQ25" s="14"/>
      <c r="FR25" s="14"/>
      <c r="FS25" s="14"/>
      <c r="FT25" s="101">
        <f>-BP64</f>
        <v>0.14249999999999999</v>
      </c>
      <c r="FU25" s="103"/>
      <c r="FV25" s="101"/>
      <c r="FW25" s="14"/>
      <c r="FX25" s="14"/>
      <c r="FY25" s="14"/>
      <c r="GB25" s="16"/>
      <c r="GC25" s="16"/>
      <c r="GD25" s="16"/>
    </row>
    <row r="26" spans="1:186" ht="15.95" customHeight="1">
      <c r="A26" s="89"/>
      <c r="B26" s="135" t="str">
        <f>I72</f>
        <v>Fz = feed/tooth (inch/tooth)</v>
      </c>
      <c r="C26" s="273">
        <f>BF28</f>
        <v>1.1999999999999999E-3</v>
      </c>
      <c r="D26" s="151"/>
      <c r="E26" s="92"/>
      <c r="F26" s="90"/>
      <c r="G26" s="87" t="str">
        <f>IF(BW72=0,"",BW72)</f>
        <v/>
      </c>
      <c r="X26" s="38"/>
      <c r="AA26" s="46"/>
      <c r="AD26" s="131">
        <v>25</v>
      </c>
      <c r="AE26" s="266">
        <v>1</v>
      </c>
      <c r="AF26" s="266">
        <v>1</v>
      </c>
      <c r="AG26" s="266">
        <v>2</v>
      </c>
      <c r="AH26" s="263" t="s">
        <v>1524</v>
      </c>
      <c r="AI26" s="249">
        <v>0.375</v>
      </c>
      <c r="AJ26" s="249">
        <v>0.37</v>
      </c>
      <c r="AK26" s="250">
        <v>4</v>
      </c>
      <c r="AL26" s="251">
        <v>32</v>
      </c>
      <c r="AM26" s="249">
        <v>1</v>
      </c>
      <c r="AN26" s="252">
        <v>3.5</v>
      </c>
      <c r="AO26" s="263">
        <v>0.48</v>
      </c>
      <c r="AP26" s="55">
        <f t="shared" si="0"/>
        <v>25</v>
      </c>
      <c r="AQ26" s="16" t="b">
        <f t="shared" si="1"/>
        <v>0</v>
      </c>
      <c r="AR26" s="16" t="b">
        <f t="shared" si="2"/>
        <v>0</v>
      </c>
      <c r="AS26" s="16">
        <f t="shared" si="3"/>
        <v>25</v>
      </c>
      <c r="AT26" s="16">
        <f t="shared" si="4"/>
        <v>25</v>
      </c>
      <c r="AU26" s="16" t="b">
        <f t="shared" si="5"/>
        <v>0</v>
      </c>
      <c r="BA26" s="61">
        <v>24</v>
      </c>
      <c r="BB26" s="157">
        <v>215</v>
      </c>
      <c r="BC26" s="272">
        <v>1.6000000000000001E-3</v>
      </c>
      <c r="BD26" s="272">
        <v>2.3999999999999998E-3</v>
      </c>
      <c r="BE26" s="76"/>
      <c r="BF26" s="281">
        <f>IF(BF29=1,BF23,IF(BF29=2,BF24))</f>
        <v>1.1999999999999999E-3</v>
      </c>
      <c r="BH26" s="11"/>
      <c r="BI26" s="10"/>
      <c r="BK26" s="79"/>
      <c r="BL26" s="9">
        <f>ROUND(BL25,1)</f>
        <v>58.6</v>
      </c>
      <c r="BM26" s="65"/>
      <c r="BS26" s="14">
        <v>1000132</v>
      </c>
      <c r="BT26" s="14">
        <f t="shared" si="13"/>
        <v>0</v>
      </c>
      <c r="BV26" s="8"/>
      <c r="CO26" s="102">
        <f>INT(CO25)</f>
        <v>0</v>
      </c>
      <c r="DA26" s="24"/>
      <c r="DB26"/>
      <c r="DC26"/>
      <c r="DD26" s="16">
        <f>INT(DD25)</f>
        <v>-1</v>
      </c>
      <c r="DE26"/>
      <c r="DF26"/>
      <c r="DG26"/>
      <c r="DH26"/>
      <c r="DI26"/>
      <c r="DJ26"/>
      <c r="DK26"/>
      <c r="DL26"/>
      <c r="DM26" s="16"/>
      <c r="DN26" s="16"/>
      <c r="DO26" s="16"/>
      <c r="EH26" s="16">
        <f>INT(EH25)</f>
        <v>0</v>
      </c>
      <c r="EJ26" s="16">
        <f>INT(EJ25)</f>
        <v>0</v>
      </c>
      <c r="EL26" s="16">
        <f>INT(EL25)</f>
        <v>0</v>
      </c>
      <c r="EN26" s="16">
        <f>INT(EN25)</f>
        <v>0</v>
      </c>
      <c r="EP26" s="16">
        <f>INT(EP25)</f>
        <v>0</v>
      </c>
      <c r="EV26" s="16">
        <f>INT(EV25)</f>
        <v>0</v>
      </c>
      <c r="EX26" s="16">
        <f>INT(EX25)</f>
        <v>0</v>
      </c>
      <c r="EZ26" s="16">
        <f>INT(EZ25)</f>
        <v>0</v>
      </c>
      <c r="FB26" s="16">
        <f>INT(FB25)</f>
        <v>0</v>
      </c>
      <c r="FD26" s="16">
        <f>INT(FD25)</f>
        <v>0</v>
      </c>
      <c r="FJ26" s="102"/>
      <c r="FT26" s="190">
        <f>INT(FT25)</f>
        <v>0</v>
      </c>
      <c r="FU26" s="104"/>
      <c r="FV26" s="102"/>
      <c r="FY26"/>
      <c r="FZ26"/>
      <c r="GA26"/>
      <c r="GB26" s="16"/>
      <c r="GC26" s="16"/>
      <c r="GD26" s="16"/>
    </row>
    <row r="27" spans="1:186" ht="15.95" customHeight="1">
      <c r="A27" s="89"/>
      <c r="B27" s="138" t="str">
        <f>IF(BP37=1,"",I79)</f>
        <v/>
      </c>
      <c r="C27" s="279" t="str">
        <f>IF(BP37=3,BF46,"")</f>
        <v/>
      </c>
      <c r="D27" s="89"/>
      <c r="E27" s="92"/>
      <c r="F27" s="90"/>
      <c r="G27" s="87" t="str">
        <f>IF(BW75=0,"",BW75)</f>
        <v/>
      </c>
      <c r="H27" s="36">
        <v>1</v>
      </c>
      <c r="I27" s="5" t="str">
        <f t="shared" ref="I27:I56" si="15">LOOKUP(H$27,J$2:AB$2,J27:AB27)</f>
        <v>Steel, Low Carbon, &lt; 0,25% C, &lt; 400 N/mm2</v>
      </c>
      <c r="J27" s="5" t="s">
        <v>721</v>
      </c>
      <c r="K27" s="5" t="s">
        <v>1047</v>
      </c>
      <c r="L27" s="40" t="s">
        <v>856</v>
      </c>
      <c r="M27" s="5" t="s">
        <v>279</v>
      </c>
      <c r="N27" s="5" t="s">
        <v>616</v>
      </c>
      <c r="O27" s="5" t="s">
        <v>642</v>
      </c>
      <c r="P27" s="5" t="s">
        <v>1066</v>
      </c>
      <c r="Q27" s="5" t="s">
        <v>1123</v>
      </c>
      <c r="R27" s="5" t="s">
        <v>507</v>
      </c>
      <c r="S27" s="5" t="s">
        <v>1259</v>
      </c>
      <c r="T27" s="5" t="s">
        <v>497</v>
      </c>
      <c r="U27" s="5" t="s">
        <v>683</v>
      </c>
      <c r="V27" s="5" t="s">
        <v>315</v>
      </c>
      <c r="W27" s="5" t="s">
        <v>778</v>
      </c>
      <c r="X27" s="38" t="s">
        <v>459</v>
      </c>
      <c r="Y27" s="43" t="s">
        <v>857</v>
      </c>
      <c r="Z27" s="39" t="s">
        <v>858</v>
      </c>
      <c r="AA27" s="45" t="s">
        <v>859</v>
      </c>
      <c r="AB27" s="5" t="s">
        <v>1113</v>
      </c>
      <c r="AD27" s="131">
        <v>26</v>
      </c>
      <c r="AE27" s="266">
        <v>1</v>
      </c>
      <c r="AF27" s="266">
        <v>1</v>
      </c>
      <c r="AG27" s="266">
        <v>2</v>
      </c>
      <c r="AH27" s="263" t="s">
        <v>1525</v>
      </c>
      <c r="AI27" s="249">
        <v>0.375</v>
      </c>
      <c r="AJ27" s="249">
        <v>0.37</v>
      </c>
      <c r="AK27" s="250">
        <v>4</v>
      </c>
      <c r="AL27" s="251">
        <v>28</v>
      </c>
      <c r="AM27" s="249">
        <v>1</v>
      </c>
      <c r="AN27" s="252">
        <v>3.5</v>
      </c>
      <c r="AO27" s="263">
        <v>0.48</v>
      </c>
      <c r="AP27" s="55">
        <f t="shared" si="0"/>
        <v>26</v>
      </c>
      <c r="AQ27" s="16" t="b">
        <f t="shared" si="1"/>
        <v>0</v>
      </c>
      <c r="AR27" s="16" t="b">
        <f t="shared" si="2"/>
        <v>0</v>
      </c>
      <c r="AS27" s="16">
        <f t="shared" si="3"/>
        <v>26</v>
      </c>
      <c r="AT27" s="16">
        <f t="shared" si="4"/>
        <v>26</v>
      </c>
      <c r="AU27" s="16" t="b">
        <f t="shared" si="5"/>
        <v>0</v>
      </c>
      <c r="BA27" s="61">
        <v>25</v>
      </c>
      <c r="BB27" s="157">
        <v>650</v>
      </c>
      <c r="BC27" s="272">
        <v>2.8E-3</v>
      </c>
      <c r="BD27" s="272">
        <v>3.8999999999999998E-3</v>
      </c>
      <c r="BE27" s="74" t="s">
        <v>139</v>
      </c>
      <c r="BF27" s="281">
        <f>(BP48*0.33)*BF26</f>
        <v>4.7519999999999993E-3</v>
      </c>
      <c r="BH27" s="11"/>
      <c r="BI27" s="10"/>
      <c r="BK27" s="79"/>
      <c r="BL27" s="9">
        <f>ROUND(BL25,0)</f>
        <v>59</v>
      </c>
      <c r="BM27" s="65"/>
      <c r="BS27" s="14">
        <v>1001012</v>
      </c>
      <c r="BT27" s="14">
        <f t="shared" si="13"/>
        <v>0</v>
      </c>
      <c r="BV27" s="8">
        <v>9</v>
      </c>
      <c r="BW27" s="54" t="str">
        <f>LOOKUP(BT$54,BX$2:CK$2,BX27:CK27)</f>
        <v>G00 Z0.8219</v>
      </c>
      <c r="BY27" s="23" t="str">
        <f t="shared" si="11"/>
        <v>G00 Z0.8219</v>
      </c>
      <c r="BZ27" s="23" t="str">
        <f>CONCATENATE(DB27,DC27,DD27,DE27)</f>
        <v>G00 Z-0.0937</v>
      </c>
      <c r="CA27" s="23" t="str">
        <f>BY18</f>
        <v>G03 X0. Y0. Z0.0625 I-0.1891 J0. F4,6</v>
      </c>
      <c r="CB27" s="23" t="str">
        <f>BZ18</f>
        <v>G03 X0. Y0. Z0.0625 I-0.1779 J0. F3,8</v>
      </c>
      <c r="CC27" s="4" t="str">
        <f>BY18</f>
        <v>G03 X0. Y0. Z0.0625 I-0.1891 J0. F4,6</v>
      </c>
      <c r="CD27" s="23" t="str">
        <f>BZ18</f>
        <v>G03 X0. Y0. Z0.0625 I-0.1779 J0. F3,8</v>
      </c>
      <c r="CE27" s="23" t="str">
        <f>CONCATENATE(EF27,EG27,EH27,EI27,EJ27,EK27,EL27,EM27,EN27,EO27,EP27,EQ27)</f>
        <v>G03 X0.191 Y0.1905 Z0.0156 I0.0005 J0.1905</v>
      </c>
      <c r="CF27" s="23" t="str">
        <f>CONCATENATE(ET27,EU27,EV27,EW27,EX27,EY27,EZ27,FA27,FB27,FC27,FD27,FE27)</f>
        <v>G03 X0.1799 Y0.1794 Z0.0156 I0.0005 J0.1794</v>
      </c>
      <c r="CG27" s="23" t="str">
        <f>BY21</f>
        <v>G03 X-0.1891 Y0.1563 Z0.0156 R0,1591</v>
      </c>
      <c r="CH27" s="23" t="str">
        <f>BZ21</f>
        <v>G03 X-0.1779 Y0.1563 Z0.0156 R0,1576</v>
      </c>
      <c r="CI27" s="23" t="str">
        <f>CE21</f>
        <v>G03 X-0.19 Y-0.1895 Z0.0156 I-0.0005 J-0.1895</v>
      </c>
      <c r="CJ27" s="23" t="str">
        <f>CF21</f>
        <v>G03 X-0.1789 Y-0.1784 Z0.0156 I-0.0005 J-0.1784</v>
      </c>
      <c r="CK27" s="23" t="str">
        <f>CONCATENATE(FQ27,FR27,FS27,FT27,FU27,FV27,FW27,FX27,FY27,FZ27,GA27,GB27,GC27,GD27)</f>
        <v>G00 G40 X0,1425 Y0.</v>
      </c>
      <c r="CL27" s="26">
        <v>9</v>
      </c>
      <c r="CM27" s="14" t="s">
        <v>672</v>
      </c>
      <c r="CN27" s="14" t="s">
        <v>673</v>
      </c>
      <c r="CO27" s="14" t="str">
        <f>SUBSTITUTE(CO25,",",".")</f>
        <v>0.8219</v>
      </c>
      <c r="CP27" s="14" t="str">
        <f>IF(CO25=CO26,".","")</f>
        <v/>
      </c>
      <c r="CQ27" s="14"/>
      <c r="CR27" s="14"/>
      <c r="CS27" s="14"/>
      <c r="CT27" s="14"/>
      <c r="CU27" s="14"/>
      <c r="CV27" s="14"/>
      <c r="CW27" s="14"/>
      <c r="DA27" s="26">
        <v>9</v>
      </c>
      <c r="DB27" s="14" t="s">
        <v>672</v>
      </c>
      <c r="DC27" s="14" t="s">
        <v>673</v>
      </c>
      <c r="DD27" s="14" t="str">
        <f>SUBSTITUTE(DD25,",",".")</f>
        <v>-0.0937</v>
      </c>
      <c r="DE27" s="14" t="str">
        <f>IF(DD25=DD26,".","")</f>
        <v/>
      </c>
      <c r="DF27" s="14"/>
      <c r="DG27" s="14"/>
      <c r="DH27" s="14"/>
      <c r="DI27" s="14"/>
      <c r="DJ27" s="14"/>
      <c r="DK27" s="14"/>
      <c r="DL27" s="14"/>
      <c r="DM27" s="16"/>
      <c r="DN27" s="16"/>
      <c r="DO27" s="16"/>
      <c r="EE27" s="26">
        <v>9</v>
      </c>
      <c r="EF27" s="14" t="s">
        <v>675</v>
      </c>
      <c r="EG27" s="14" t="s">
        <v>674</v>
      </c>
      <c r="EH27" s="14" t="str">
        <f>SUBSTITUTE(EH25,",",".")</f>
        <v>0.191</v>
      </c>
      <c r="EI27" s="14" t="str">
        <f>IF(EH25=EH26,". Y"," Y")</f>
        <v xml:space="preserve"> Y</v>
      </c>
      <c r="EJ27" s="14" t="str">
        <f>SUBSTITUTE(EJ25,",",".")</f>
        <v>0.1905</v>
      </c>
      <c r="EK27" s="14" t="str">
        <f>IF(EJ25=EJ26,". Z"," Z")</f>
        <v xml:space="preserve"> Z</v>
      </c>
      <c r="EL27" s="14" t="str">
        <f>SUBSTITUTE(EL25,",",".")</f>
        <v>0.0156</v>
      </c>
      <c r="EM27" s="14" t="str">
        <f>IF(EL25=EL26,". I"," I")</f>
        <v xml:space="preserve"> I</v>
      </c>
      <c r="EN27" s="14" t="str">
        <f>SUBSTITUTE(EN25,",",".")</f>
        <v>0.0005</v>
      </c>
      <c r="EO27" s="14" t="str">
        <f>IF(EN25=EN26,". J"," J")</f>
        <v xml:space="preserve"> J</v>
      </c>
      <c r="EP27" s="14" t="str">
        <f>SUBSTITUTE(EP25,",",".")</f>
        <v>0.1905</v>
      </c>
      <c r="EQ27" s="14" t="str">
        <f>IF(EP25=EP26,".","")</f>
        <v/>
      </c>
      <c r="ES27" s="26">
        <v>9</v>
      </c>
      <c r="ET27" s="14" t="s">
        <v>675</v>
      </c>
      <c r="EU27" s="14" t="s">
        <v>674</v>
      </c>
      <c r="EV27" s="14" t="str">
        <f>SUBSTITUTE(EV25,",",".")</f>
        <v>0.1799</v>
      </c>
      <c r="EW27" s="14" t="str">
        <f>IF(EV25=EV26,". Y"," Y")</f>
        <v xml:space="preserve"> Y</v>
      </c>
      <c r="EX27" s="14" t="str">
        <f>SUBSTITUTE(EX25,",",".")</f>
        <v>0.1794</v>
      </c>
      <c r="EY27" s="14" t="str">
        <f>IF(EX25=EX26,". Z"," Z")</f>
        <v xml:space="preserve"> Z</v>
      </c>
      <c r="EZ27" s="14" t="str">
        <f>SUBSTITUTE(EZ25,",",".")</f>
        <v>0.0156</v>
      </c>
      <c r="FA27" s="14" t="str">
        <f>IF(EZ25=EZ26,". I"," I")</f>
        <v xml:space="preserve"> I</v>
      </c>
      <c r="FB27" s="14" t="str">
        <f>SUBSTITUTE(FB25,",",".")</f>
        <v>0.0005</v>
      </c>
      <c r="FC27" s="14" t="str">
        <f>IF(FB25=FB26,". J"," J")</f>
        <v xml:space="preserve"> J</v>
      </c>
      <c r="FD27" s="14" t="str">
        <f>SUBSTITUTE(FD25,",",".")</f>
        <v>0.1794</v>
      </c>
      <c r="FE27" s="14" t="str">
        <f>IF(FD25=FD26,".","")</f>
        <v/>
      </c>
      <c r="FG27" s="26"/>
      <c r="FH27" s="14"/>
      <c r="FI27" s="14"/>
      <c r="FJ27" s="14"/>
      <c r="FK27" s="14"/>
      <c r="FL27" s="14"/>
      <c r="FM27" s="14"/>
      <c r="FN27" s="14"/>
      <c r="FO27" s="14"/>
      <c r="FP27" s="26">
        <v>9</v>
      </c>
      <c r="FQ27" s="14" t="s">
        <v>854</v>
      </c>
      <c r="FR27" s="14" t="s">
        <v>671</v>
      </c>
      <c r="FS27" s="14" t="s">
        <v>674</v>
      </c>
      <c r="FT27" s="10">
        <f>-BP64</f>
        <v>0.14249999999999999</v>
      </c>
      <c r="FU27" s="14" t="str">
        <f>IF(FT25=FT26,". Y"," Y")</f>
        <v xml:space="preserve"> Y</v>
      </c>
      <c r="FV27" s="14">
        <v>0</v>
      </c>
      <c r="FW27" s="14" t="str">
        <f>IF(FV25=FV26,".","")</f>
        <v>.</v>
      </c>
      <c r="FX27" s="14"/>
      <c r="FY27" s="14"/>
      <c r="GB27" s="16"/>
      <c r="GC27" s="16"/>
      <c r="GD27" s="16"/>
    </row>
    <row r="28" spans="1:186" ht="15.95" customHeight="1">
      <c r="A28" s="89"/>
      <c r="B28" s="134" t="str">
        <f>I75</f>
        <v>N = spindle speed (rpm)</v>
      </c>
      <c r="C28" s="278">
        <f>ROUND(12*BE5/(3.141592654*BE13),0)</f>
        <v>3954</v>
      </c>
      <c r="D28" s="90"/>
      <c r="E28" s="89"/>
      <c r="F28" s="90"/>
      <c r="G28" s="87" t="str">
        <f>IF(BW78=0,"",BW78)</f>
        <v/>
      </c>
      <c r="H28" t="s">
        <v>1317</v>
      </c>
      <c r="I28" s="5" t="str">
        <f t="shared" si="15"/>
        <v>Steel, Medium Carbon, &lt; 0,55% C, &lt; 700 N/mm2</v>
      </c>
      <c r="J28" s="5" t="s">
        <v>1396</v>
      </c>
      <c r="K28" s="5" t="s">
        <v>1384</v>
      </c>
      <c r="L28" s="40" t="s">
        <v>860</v>
      </c>
      <c r="M28" s="5" t="s">
        <v>269</v>
      </c>
      <c r="N28" s="5" t="s">
        <v>764</v>
      </c>
      <c r="O28" s="5" t="s">
        <v>643</v>
      </c>
      <c r="P28" s="5" t="s">
        <v>1067</v>
      </c>
      <c r="Q28" s="5" t="s">
        <v>1124</v>
      </c>
      <c r="R28" s="5" t="s">
        <v>508</v>
      </c>
      <c r="S28" s="5" t="s">
        <v>1260</v>
      </c>
      <c r="T28" s="5" t="s">
        <v>498</v>
      </c>
      <c r="U28" s="5" t="s">
        <v>684</v>
      </c>
      <c r="V28" s="5" t="s">
        <v>316</v>
      </c>
      <c r="W28" s="5" t="s">
        <v>661</v>
      </c>
      <c r="X28" s="38" t="s">
        <v>484</v>
      </c>
      <c r="Y28" s="43" t="s">
        <v>861</v>
      </c>
      <c r="Z28" s="39" t="s">
        <v>862</v>
      </c>
      <c r="AA28" s="45" t="s">
        <v>863</v>
      </c>
      <c r="AB28" s="5" t="s">
        <v>258</v>
      </c>
      <c r="AD28" s="131">
        <v>27</v>
      </c>
      <c r="AE28" s="266">
        <v>1</v>
      </c>
      <c r="AF28" s="266">
        <v>1</v>
      </c>
      <c r="AG28" s="266">
        <v>2</v>
      </c>
      <c r="AH28" s="263" t="s">
        <v>1526</v>
      </c>
      <c r="AI28" s="249">
        <v>0.375</v>
      </c>
      <c r="AJ28" s="249">
        <v>0.37</v>
      </c>
      <c r="AK28" s="250">
        <v>4</v>
      </c>
      <c r="AL28" s="251">
        <v>24</v>
      </c>
      <c r="AM28" s="249">
        <v>1</v>
      </c>
      <c r="AN28" s="252">
        <v>3.5</v>
      </c>
      <c r="AO28" s="263">
        <v>0.48</v>
      </c>
      <c r="AP28" s="55">
        <f t="shared" si="0"/>
        <v>27</v>
      </c>
      <c r="AQ28" s="16" t="b">
        <f t="shared" si="1"/>
        <v>0</v>
      </c>
      <c r="AR28" s="16" t="b">
        <f t="shared" si="2"/>
        <v>0</v>
      </c>
      <c r="AS28" s="16">
        <f t="shared" si="3"/>
        <v>27</v>
      </c>
      <c r="AT28" s="16">
        <f t="shared" si="4"/>
        <v>27</v>
      </c>
      <c r="AU28" s="16" t="b">
        <f t="shared" si="5"/>
        <v>0</v>
      </c>
      <c r="BA28" s="61">
        <v>26</v>
      </c>
      <c r="BB28" s="157">
        <v>550</v>
      </c>
      <c r="BC28" s="272">
        <v>2.3999999999999998E-3</v>
      </c>
      <c r="BD28" s="272">
        <v>3.0999999999999999E-3</v>
      </c>
      <c r="BE28" s="74"/>
      <c r="BF28" s="281">
        <f>IF(BT8=1000,BF27,BF26)</f>
        <v>1.1999999999999999E-3</v>
      </c>
      <c r="BH28" s="11"/>
      <c r="BI28" s="10"/>
      <c r="BK28" s="74" t="s">
        <v>756</v>
      </c>
      <c r="BL28" s="232">
        <f>IF(BL25&gt;=10,BL27,BL26)</f>
        <v>59</v>
      </c>
      <c r="BM28" s="65"/>
      <c r="BO28" s="7"/>
      <c r="BP28" s="18"/>
      <c r="BS28" s="14">
        <v>1001022</v>
      </c>
      <c r="BT28" s="14">
        <f t="shared" si="13"/>
        <v>0</v>
      </c>
      <c r="BV28" s="8"/>
      <c r="CL28" s="26"/>
      <c r="CM28" s="14"/>
      <c r="CN28" s="14"/>
      <c r="CO28" s="14"/>
      <c r="CP28" s="14"/>
      <c r="CQ28" s="14"/>
      <c r="CR28" s="14">
        <v>8</v>
      </c>
      <c r="CS28" s="14"/>
      <c r="CT28" s="14"/>
      <c r="CU28" s="14"/>
      <c r="CV28" s="14"/>
      <c r="CW28" s="14"/>
      <c r="DA28" s="26"/>
      <c r="DB28" s="14"/>
      <c r="DC28" s="14"/>
      <c r="DD28" s="14"/>
      <c r="DE28" s="14"/>
      <c r="DF28" s="14"/>
      <c r="DG28" s="14"/>
      <c r="DH28" s="14"/>
      <c r="DI28" s="14"/>
      <c r="DJ28" s="14"/>
      <c r="DK28" s="14"/>
      <c r="DL28" s="14"/>
      <c r="DM28" s="14"/>
      <c r="DN28" s="14"/>
      <c r="DO28" s="14"/>
      <c r="EH28" s="336">
        <f>-EH25</f>
        <v>-0.191</v>
      </c>
      <c r="EI28" s="103"/>
      <c r="EJ28" s="336">
        <f>CQ19</f>
        <v>0.15629999999999999</v>
      </c>
      <c r="EK28" s="103"/>
      <c r="EL28" s="336">
        <f>EL16</f>
        <v>1.5599999999999999E-2</v>
      </c>
      <c r="EM28" s="103"/>
      <c r="EN28" s="103"/>
      <c r="EV28" s="336">
        <f>-EV25</f>
        <v>-0.1799</v>
      </c>
      <c r="EW28" s="336"/>
      <c r="EX28" s="336">
        <f>DF19</f>
        <v>0.15629999999999999</v>
      </c>
      <c r="EY28" s="336"/>
      <c r="EZ28" s="336">
        <f>EZ16</f>
        <v>1.5599999999999999E-2</v>
      </c>
      <c r="FA28" s="103"/>
      <c r="FB28" s="103"/>
      <c r="FG28" s="26"/>
      <c r="FH28" s="14"/>
      <c r="FI28" s="14"/>
      <c r="FJ28" s="14"/>
      <c r="FK28" s="14"/>
      <c r="FL28" s="14"/>
      <c r="FM28" s="14"/>
      <c r="FN28" s="14"/>
      <c r="FO28" s="14"/>
      <c r="FP28" s="26"/>
      <c r="FQ28" s="14"/>
      <c r="FR28" s="14"/>
      <c r="FS28" s="101">
        <f>-FT7-FT10-FW16-FW19-FW22</f>
        <v>0.86187000000000002</v>
      </c>
      <c r="FT28" s="14"/>
      <c r="FU28" s="14"/>
      <c r="FV28" s="14"/>
      <c r="FW28" s="14"/>
      <c r="FX28" s="14"/>
      <c r="FY28" s="14"/>
    </row>
    <row r="29" spans="1:186" ht="15.95" customHeight="1">
      <c r="A29" s="89"/>
      <c r="B29" s="135" t="str">
        <f>I76</f>
        <v>FD = feed at thread diameter (inch/min)</v>
      </c>
      <c r="C29" s="343">
        <f>ROUND(BF31*BE15*C28,1)</f>
        <v>19</v>
      </c>
      <c r="D29" s="90"/>
      <c r="E29" s="89"/>
      <c r="F29" s="90"/>
      <c r="G29" s="87" t="str">
        <f>IF(BW81=0,"",BW81)</f>
        <v/>
      </c>
      <c r="H29" t="s">
        <v>1316</v>
      </c>
      <c r="I29" s="5" t="str">
        <f t="shared" si="15"/>
        <v>Steel, High Carbon, &lt; 0,85% C, &lt; 850 N/mm2</v>
      </c>
      <c r="J29" s="5" t="s">
        <v>752</v>
      </c>
      <c r="K29" s="5" t="s">
        <v>700</v>
      </c>
      <c r="L29" s="40" t="s">
        <v>864</v>
      </c>
      <c r="M29" s="5" t="s">
        <v>271</v>
      </c>
      <c r="N29" s="5" t="s">
        <v>715</v>
      </c>
      <c r="O29" s="5" t="s">
        <v>1250</v>
      </c>
      <c r="P29" s="5" t="s">
        <v>1134</v>
      </c>
      <c r="Q29" s="5" t="s">
        <v>372</v>
      </c>
      <c r="R29" s="5" t="s">
        <v>509</v>
      </c>
      <c r="S29" s="5" t="s">
        <v>1261</v>
      </c>
      <c r="T29" s="5" t="s">
        <v>510</v>
      </c>
      <c r="U29" s="5" t="s">
        <v>1277</v>
      </c>
      <c r="V29" s="5" t="s">
        <v>317</v>
      </c>
      <c r="W29" s="5" t="s">
        <v>789</v>
      </c>
      <c r="X29" s="38" t="s">
        <v>460</v>
      </c>
      <c r="Y29" s="43" t="s">
        <v>865</v>
      </c>
      <c r="Z29" s="39" t="s">
        <v>866</v>
      </c>
      <c r="AA29" s="45" t="s">
        <v>867</v>
      </c>
      <c r="AB29" s="5" t="s">
        <v>259</v>
      </c>
      <c r="AD29" s="131">
        <v>28</v>
      </c>
      <c r="AE29" s="266">
        <v>1</v>
      </c>
      <c r="AF29" s="266">
        <v>1</v>
      </c>
      <c r="AG29" s="266">
        <v>2</v>
      </c>
      <c r="AH29" s="263" t="s">
        <v>1527</v>
      </c>
      <c r="AI29" s="249">
        <v>0.375</v>
      </c>
      <c r="AJ29" s="249">
        <v>0.37</v>
      </c>
      <c r="AK29" s="250">
        <v>4</v>
      </c>
      <c r="AL29" s="251">
        <v>20</v>
      </c>
      <c r="AM29" s="249">
        <v>1</v>
      </c>
      <c r="AN29" s="252">
        <v>3.5</v>
      </c>
      <c r="AO29" s="263">
        <v>0.48</v>
      </c>
      <c r="AP29" s="55">
        <f t="shared" si="0"/>
        <v>28</v>
      </c>
      <c r="AQ29" s="16" t="b">
        <f t="shared" si="1"/>
        <v>0</v>
      </c>
      <c r="AR29" s="16" t="b">
        <f t="shared" si="2"/>
        <v>0</v>
      </c>
      <c r="AS29" s="16">
        <f t="shared" si="3"/>
        <v>28</v>
      </c>
      <c r="AT29" s="16">
        <f t="shared" si="4"/>
        <v>28</v>
      </c>
      <c r="AU29" s="16" t="b">
        <f t="shared" si="5"/>
        <v>0</v>
      </c>
      <c r="BA29" s="61">
        <v>27</v>
      </c>
      <c r="BB29" s="157">
        <v>490</v>
      </c>
      <c r="BC29" s="272">
        <v>1.6000000000000001E-3</v>
      </c>
      <c r="BD29" s="272">
        <v>2.3999999999999998E-3</v>
      </c>
      <c r="BE29" s="74" t="s">
        <v>763</v>
      </c>
      <c r="BF29" s="67">
        <f>IF(D20&gt;0,D20,C20)</f>
        <v>1</v>
      </c>
      <c r="BH29" s="147" t="s">
        <v>1249</v>
      </c>
      <c r="BI29" s="148">
        <v>1</v>
      </c>
      <c r="BK29" s="74" t="s">
        <v>772</v>
      </c>
      <c r="BL29" s="80">
        <f>ROUND(IF(BP42=5,BL28,BL23),0)</f>
        <v>7</v>
      </c>
      <c r="BM29" s="65"/>
      <c r="BS29" s="14">
        <v>1001032</v>
      </c>
      <c r="BT29" s="14">
        <f t="shared" si="13"/>
        <v>0</v>
      </c>
      <c r="BV29" s="8"/>
      <c r="CL29" s="26"/>
      <c r="CM29" s="14"/>
      <c r="CN29" s="14"/>
      <c r="CO29" s="14"/>
      <c r="CP29" s="14"/>
      <c r="CQ29" s="14"/>
      <c r="CR29" s="14">
        <f>INT(CR28)</f>
        <v>8</v>
      </c>
      <c r="CS29" s="14"/>
      <c r="CT29" s="14"/>
      <c r="CU29" s="14"/>
      <c r="CV29" s="14"/>
      <c r="CW29" s="14"/>
      <c r="DA29" s="24"/>
      <c r="DB29" s="14"/>
      <c r="DC29" s="14"/>
      <c r="DD29" s="14"/>
      <c r="DE29" s="14"/>
      <c r="DF29" s="14"/>
      <c r="DG29" s="14"/>
      <c r="DH29" s="14"/>
      <c r="DI29" s="14"/>
      <c r="DJ29" s="14"/>
      <c r="DK29" s="14"/>
      <c r="DL29" s="14"/>
      <c r="DM29" s="14"/>
      <c r="DN29" s="14"/>
      <c r="DO29" s="14"/>
      <c r="EF29"/>
      <c r="EG29"/>
      <c r="EH29" s="102">
        <f>INT(EH28)</f>
        <v>-1</v>
      </c>
      <c r="EI29" s="104"/>
      <c r="EJ29" s="102">
        <f>INT(EJ28)</f>
        <v>0</v>
      </c>
      <c r="EK29" s="104"/>
      <c r="EL29" s="102">
        <f>INT(EL28)</f>
        <v>0</v>
      </c>
      <c r="EM29" s="104"/>
      <c r="EN29" s="102"/>
      <c r="ET29"/>
      <c r="EU29"/>
      <c r="EV29" s="102">
        <f>INT(EV28)</f>
        <v>-1</v>
      </c>
      <c r="EW29" s="104"/>
      <c r="EX29" s="102">
        <f>INT(EX28)</f>
        <v>0</v>
      </c>
      <c r="EY29" s="104"/>
      <c r="EZ29" s="102">
        <f>INT(EZ28)</f>
        <v>0</v>
      </c>
      <c r="FA29" s="104"/>
      <c r="FB29" s="102"/>
      <c r="FG29" s="26"/>
      <c r="FH29" s="14"/>
      <c r="FI29" s="14"/>
      <c r="FJ29" s="14"/>
      <c r="FK29" s="14"/>
      <c r="FL29" s="14"/>
      <c r="FM29" s="14"/>
      <c r="FN29" s="14"/>
      <c r="FO29" s="14"/>
      <c r="FP29" s="26"/>
      <c r="FS29" s="102">
        <f>INT(FS28)</f>
        <v>0</v>
      </c>
      <c r="FY29"/>
    </row>
    <row r="30" spans="1:186" ht="15.95" customHeight="1">
      <c r="A30" s="89"/>
      <c r="B30" s="135" t="str">
        <f>I77</f>
        <v>Fd = feed in center of mill (inch/min)</v>
      </c>
      <c r="C30" s="139">
        <f>ROUND(C29*(C9-BE13)/C9,1)</f>
        <v>4.5999999999999996</v>
      </c>
      <c r="D30" s="90"/>
      <c r="E30" s="89"/>
      <c r="F30" s="90"/>
      <c r="G30" s="87" t="str">
        <f>IF(BW84=0,"",BW84)</f>
        <v/>
      </c>
      <c r="H30" s="86" t="s">
        <v>121</v>
      </c>
      <c r="I30" s="5" t="str">
        <f t="shared" si="15"/>
        <v>Steel, Low Alloy, &lt; 850 N/mm2</v>
      </c>
      <c r="J30" s="5" t="s">
        <v>1404</v>
      </c>
      <c r="K30" s="5" t="s">
        <v>1395</v>
      </c>
      <c r="L30" s="40" t="s">
        <v>868</v>
      </c>
      <c r="M30" s="5" t="s">
        <v>272</v>
      </c>
      <c r="N30" s="5" t="s">
        <v>716</v>
      </c>
      <c r="O30" s="5" t="s">
        <v>1251</v>
      </c>
      <c r="P30" s="5" t="s">
        <v>1135</v>
      </c>
      <c r="Q30" s="5" t="s">
        <v>373</v>
      </c>
      <c r="R30" s="5" t="s">
        <v>405</v>
      </c>
      <c r="S30" s="5" t="s">
        <v>23</v>
      </c>
      <c r="T30" s="5" t="s">
        <v>511</v>
      </c>
      <c r="U30" s="5" t="s">
        <v>1278</v>
      </c>
      <c r="V30" s="5" t="s">
        <v>318</v>
      </c>
      <c r="W30" s="5" t="s">
        <v>604</v>
      </c>
      <c r="X30" s="38" t="s">
        <v>461</v>
      </c>
      <c r="Y30" s="43" t="s">
        <v>869</v>
      </c>
      <c r="Z30" s="39" t="s">
        <v>870</v>
      </c>
      <c r="AA30" s="45" t="s">
        <v>871</v>
      </c>
      <c r="AB30" s="5" t="s">
        <v>260</v>
      </c>
      <c r="AD30" s="131">
        <v>29</v>
      </c>
      <c r="AE30" s="266">
        <v>1</v>
      </c>
      <c r="AF30" s="266">
        <v>1</v>
      </c>
      <c r="AG30" s="266">
        <v>2</v>
      </c>
      <c r="AH30" s="263" t="s">
        <v>1528</v>
      </c>
      <c r="AI30" s="249">
        <v>0.375</v>
      </c>
      <c r="AJ30" s="249">
        <v>0.37</v>
      </c>
      <c r="AK30" s="250">
        <v>4</v>
      </c>
      <c r="AL30" s="251">
        <v>18</v>
      </c>
      <c r="AM30" s="249">
        <v>0.875</v>
      </c>
      <c r="AN30" s="252">
        <v>3.5</v>
      </c>
      <c r="AO30" s="263">
        <v>0.54249999999999998</v>
      </c>
      <c r="AP30" s="55">
        <f t="shared" si="0"/>
        <v>29</v>
      </c>
      <c r="AQ30" s="16" t="b">
        <f t="shared" si="1"/>
        <v>0</v>
      </c>
      <c r="AR30" s="16" t="b">
        <f t="shared" si="2"/>
        <v>0</v>
      </c>
      <c r="AS30" s="16">
        <f t="shared" si="3"/>
        <v>29</v>
      </c>
      <c r="AT30" s="16">
        <f t="shared" si="4"/>
        <v>29</v>
      </c>
      <c r="AU30" s="16" t="b">
        <f t="shared" si="5"/>
        <v>0</v>
      </c>
      <c r="BA30" s="61">
        <v>28</v>
      </c>
      <c r="BB30" s="157">
        <v>390</v>
      </c>
      <c r="BC30" s="272">
        <v>1.1999999999999999E-3</v>
      </c>
      <c r="BD30" s="272">
        <v>2E-3</v>
      </c>
      <c r="BE30" s="76"/>
      <c r="BF30" s="65"/>
      <c r="BH30" s="11"/>
      <c r="BI30" s="10"/>
      <c r="BK30" s="69"/>
      <c r="BL30" s="70"/>
      <c r="BM30" s="71"/>
      <c r="BO30" s="7"/>
      <c r="BS30" s="14">
        <v>1010012</v>
      </c>
      <c r="BT30" s="14">
        <f t="shared" si="13"/>
        <v>0</v>
      </c>
      <c r="BV30" s="8">
        <v>10</v>
      </c>
      <c r="BW30" s="54" t="str">
        <f>LOOKUP(BT$54,BX$2:CK$2,BX30:CK30)</f>
        <v>G90 G49 G00 Z8. M5</v>
      </c>
      <c r="BY30" s="23" t="str">
        <f t="shared" si="11"/>
        <v>G90 G49 G00 Z8. M5</v>
      </c>
      <c r="BZ30" s="23" t="str">
        <f>BY12</f>
        <v>G41 D10 X0. Y-0,1563 F2,3</v>
      </c>
      <c r="CA30" s="23" t="str">
        <f>BY21</f>
        <v>G03 X-0.1891 Y0.1563 Z0.0156 R0,1591</v>
      </c>
      <c r="CB30" s="23" t="str">
        <f>BZ21</f>
        <v>G03 X-0.1779 Y0.1563 Z0.0156 R0,1576</v>
      </c>
      <c r="CC30" s="4" t="str">
        <f>CA39</f>
        <v>#2=#2+1</v>
      </c>
      <c r="CD30" s="23" t="str">
        <f>CC30</f>
        <v>#2=#2+1</v>
      </c>
      <c r="CE30" s="23" t="str">
        <f>CONCATENATE(EF30,EG30,EH30,EI30,EJ30,EK30,EL30,EM30,EN30,EO30,EP30,EQ30)</f>
        <v>G03 X-0.191 Y0.1563 Z0.0156 R0,1594</v>
      </c>
      <c r="CF30" s="23" t="str">
        <f>CONCATENATE(ET30,EU30,EV30,EW30,EX30,EY30,EZ30,FA30,FB30,FC30,FD30,FE30)</f>
        <v>G03 X-0.1799 Y0.1563 Z0.0156 R0,1579</v>
      </c>
      <c r="CG30" s="23" t="str">
        <f>BY24</f>
        <v>G00 G40 X0. Y-0.1563</v>
      </c>
      <c r="CH30" s="23" t="str">
        <f>BZ24</f>
        <v>G00 G40 X0. Y-0.1563</v>
      </c>
      <c r="CI30" s="23" t="str">
        <f>CE24</f>
        <v>G03 X0.19 Y-0.1905 Z0.0156 I0.19 J-0.0005</v>
      </c>
      <c r="CJ30" s="23" t="str">
        <f>CF24</f>
        <v>G03 X0.1789 Y-0.1794 Z0.0156 I0.1789 J-0.0005</v>
      </c>
      <c r="CK30" s="23" t="str">
        <f>CONCATENATE(FQ30,FR30,FS30,FT30,FU30,FV30,FW30,FX30,FY30,FZ30,GA30,GB30,GC30,GD30)</f>
        <v>G00 Z0.86187</v>
      </c>
      <c r="CL30" s="26">
        <v>10</v>
      </c>
      <c r="CM30" s="14" t="s">
        <v>446</v>
      </c>
      <c r="CN30" s="14" t="s">
        <v>872</v>
      </c>
      <c r="CO30" s="14"/>
      <c r="CP30" s="14" t="s">
        <v>175</v>
      </c>
      <c r="CQ30" s="14" t="s">
        <v>181</v>
      </c>
      <c r="CR30" s="14" t="str">
        <f>SUBSTITUTE(CR28,",",".")</f>
        <v>8</v>
      </c>
      <c r="CS30" s="14" t="str">
        <f>IF(CR28=CR29,". M5"," M5")</f>
        <v>. M5</v>
      </c>
      <c r="CT30" s="14"/>
      <c r="CU30" s="14"/>
      <c r="CV30" s="14"/>
      <c r="CW30" s="14"/>
      <c r="DA30" s="24"/>
      <c r="DB30" s="14"/>
      <c r="DC30" s="14"/>
      <c r="DD30" s="14"/>
      <c r="DE30" s="14"/>
      <c r="DF30" s="14"/>
      <c r="DG30" s="14"/>
      <c r="DH30" s="14"/>
      <c r="DI30" s="14"/>
      <c r="DJ30" s="14"/>
      <c r="DK30" s="14"/>
      <c r="DL30" s="14"/>
      <c r="DM30" s="14"/>
      <c r="DN30" s="14"/>
      <c r="DO30" s="14"/>
      <c r="EE30" s="26">
        <v>10</v>
      </c>
      <c r="EF30" s="14" t="s">
        <v>675</v>
      </c>
      <c r="EG30" s="14" t="s">
        <v>674</v>
      </c>
      <c r="EH30" s="14" t="str">
        <f>SUBSTITUTE(EH28,",",".")</f>
        <v>-0.191</v>
      </c>
      <c r="EI30" s="14" t="str">
        <f>IF(EH28=EH29,". Y"," Y")</f>
        <v xml:space="preserve"> Y</v>
      </c>
      <c r="EJ30" s="14" t="str">
        <f>SUBSTITUTE(EJ28,",",".")</f>
        <v>0.1563</v>
      </c>
      <c r="EK30" s="14" t="str">
        <f>IF(EJ28=EJ29,". Z"," Z")</f>
        <v xml:space="preserve"> Z</v>
      </c>
      <c r="EL30" s="14" t="str">
        <f>SUBSTITUTE(EL28,",",".")</f>
        <v>0.0156</v>
      </c>
      <c r="EM30" s="14" t="s">
        <v>839</v>
      </c>
      <c r="EN30" s="335">
        <f>BG52</f>
        <v>0.15939999999999999</v>
      </c>
      <c r="ES30" s="26">
        <v>10</v>
      </c>
      <c r="ET30" s="14" t="s">
        <v>675</v>
      </c>
      <c r="EU30" s="14" t="s">
        <v>674</v>
      </c>
      <c r="EV30" s="14" t="str">
        <f>SUBSTITUTE(EV28,",",".")</f>
        <v>-0.1799</v>
      </c>
      <c r="EW30" s="14" t="str">
        <f>IF(EV28=EV29,". Y"," Y")</f>
        <v xml:space="preserve"> Y</v>
      </c>
      <c r="EX30" s="14" t="str">
        <f>SUBSTITUTE(EX28,",",".")</f>
        <v>0.1563</v>
      </c>
      <c r="EY30" s="14" t="str">
        <f>IF(EX28=EX29,". Z"," Z")</f>
        <v xml:space="preserve"> Z</v>
      </c>
      <c r="EZ30" s="14" t="str">
        <f>SUBSTITUTE(EZ28,",",".")</f>
        <v>0.0156</v>
      </c>
      <c r="FA30" s="14" t="s">
        <v>839</v>
      </c>
      <c r="FB30" s="335">
        <f>BG51</f>
        <v>0.15790000000000001</v>
      </c>
      <c r="FG30" s="26"/>
      <c r="FH30" s="14"/>
      <c r="FI30" s="14"/>
      <c r="FJ30" s="14"/>
      <c r="FK30" s="14"/>
      <c r="FL30" s="14"/>
      <c r="FM30" s="14"/>
      <c r="FN30" s="14"/>
      <c r="FO30" s="14"/>
      <c r="FP30" s="26">
        <v>10</v>
      </c>
      <c r="FQ30" s="14" t="s">
        <v>672</v>
      </c>
      <c r="FR30" s="14" t="s">
        <v>673</v>
      </c>
      <c r="FS30" s="14" t="str">
        <f>SUBSTITUTE(FS28,",",".")</f>
        <v>0.86187</v>
      </c>
      <c r="FT30" s="14" t="str">
        <f>IF(FS28=FS29,".","")</f>
        <v/>
      </c>
      <c r="FU30" s="14"/>
      <c r="FV30" s="14"/>
      <c r="FW30" s="14"/>
      <c r="FX30" s="14"/>
      <c r="FY30" s="14"/>
    </row>
    <row r="31" spans="1:186" ht="15.95" customHeight="1">
      <c r="A31" s="89"/>
      <c r="B31" s="135" t="str">
        <f>I78</f>
        <v>T = time to mill the thread (seconds)</v>
      </c>
      <c r="C31" s="139">
        <f>IF(BP37=1,BL29,(IF(BP37=2,BL29+BI67,BL29+BI69)))</f>
        <v>7</v>
      </c>
      <c r="D31" s="90"/>
      <c r="E31" s="89"/>
      <c r="F31" s="90"/>
      <c r="G31" s="87" t="str">
        <f>IF(BW87=0,"",BW87)</f>
        <v/>
      </c>
      <c r="H31" t="s">
        <v>686</v>
      </c>
      <c r="I31" s="5" t="str">
        <f t="shared" si="15"/>
        <v>Steel, High Alloy, &lt; 1200 N/mm2</v>
      </c>
      <c r="J31" s="5" t="s">
        <v>706</v>
      </c>
      <c r="K31" s="5" t="s">
        <v>1392</v>
      </c>
      <c r="L31" s="40" t="s">
        <v>873</v>
      </c>
      <c r="M31" s="5" t="s">
        <v>273</v>
      </c>
      <c r="N31" s="5" t="s">
        <v>701</v>
      </c>
      <c r="O31" s="5" t="s">
        <v>1252</v>
      </c>
      <c r="P31" s="5" t="s">
        <v>1136</v>
      </c>
      <c r="Q31" s="5" t="s">
        <v>374</v>
      </c>
      <c r="R31" s="5" t="s">
        <v>512</v>
      </c>
      <c r="S31" s="5" t="s">
        <v>24</v>
      </c>
      <c r="T31" s="5" t="s">
        <v>515</v>
      </c>
      <c r="U31" s="5" t="s">
        <v>1279</v>
      </c>
      <c r="V31" s="5" t="s">
        <v>319</v>
      </c>
      <c r="W31" s="5" t="s">
        <v>605</v>
      </c>
      <c r="X31" s="38" t="s">
        <v>462</v>
      </c>
      <c r="Y31" s="43" t="s">
        <v>874</v>
      </c>
      <c r="Z31" s="39" t="s">
        <v>875</v>
      </c>
      <c r="AA31" s="45" t="s">
        <v>876</v>
      </c>
      <c r="AB31" s="5" t="s">
        <v>263</v>
      </c>
      <c r="AD31" s="131">
        <v>30</v>
      </c>
      <c r="AE31" s="266">
        <v>1</v>
      </c>
      <c r="AF31" s="266">
        <v>1</v>
      </c>
      <c r="AG31" s="266">
        <v>2</v>
      </c>
      <c r="AH31" s="263" t="s">
        <v>1529</v>
      </c>
      <c r="AI31" s="249">
        <v>0.375</v>
      </c>
      <c r="AJ31" s="249">
        <v>0.37</v>
      </c>
      <c r="AK31" s="250">
        <v>4</v>
      </c>
      <c r="AL31" s="251">
        <v>12</v>
      </c>
      <c r="AM31" s="249">
        <v>0.875</v>
      </c>
      <c r="AN31" s="252">
        <v>3.5</v>
      </c>
      <c r="AO31" s="263">
        <v>0.54249999999999998</v>
      </c>
      <c r="AP31" s="55">
        <f t="shared" si="0"/>
        <v>30</v>
      </c>
      <c r="AQ31" s="16" t="b">
        <f t="shared" si="1"/>
        <v>0</v>
      </c>
      <c r="AR31" s="16" t="b">
        <f t="shared" si="2"/>
        <v>0</v>
      </c>
      <c r="AS31" s="16">
        <f t="shared" si="3"/>
        <v>30</v>
      </c>
      <c r="AT31" s="16">
        <f t="shared" si="4"/>
        <v>30</v>
      </c>
      <c r="AU31" s="16" t="b">
        <f t="shared" si="5"/>
        <v>0</v>
      </c>
      <c r="BA31" s="61">
        <v>29</v>
      </c>
      <c r="BB31" s="157">
        <v>65</v>
      </c>
      <c r="BC31" s="272">
        <v>2.9999999999999997E-4</v>
      </c>
      <c r="BD31" s="272">
        <v>4.0000000000000002E-4</v>
      </c>
      <c r="BE31" s="74" t="s">
        <v>555</v>
      </c>
      <c r="BF31" s="274">
        <f>IF(D26&gt;0,D26,C26)</f>
        <v>1.1999999999999999E-3</v>
      </c>
      <c r="BH31" s="11"/>
      <c r="BI31" s="10"/>
      <c r="BO31" s="16"/>
      <c r="BP31" s="18"/>
      <c r="BS31" s="14">
        <v>1010022</v>
      </c>
      <c r="BT31" s="14">
        <f t="shared" si="13"/>
        <v>0</v>
      </c>
      <c r="BV31" s="8"/>
      <c r="DA31" s="24"/>
      <c r="DB31" s="14"/>
      <c r="DC31" s="14"/>
      <c r="DD31" s="14"/>
      <c r="DE31" s="14"/>
      <c r="DF31" s="14"/>
      <c r="DG31" s="14"/>
      <c r="DH31" s="14"/>
      <c r="DI31" s="14"/>
      <c r="DJ31" s="14"/>
      <c r="DK31" s="14"/>
      <c r="DL31" s="14"/>
      <c r="DM31" s="14"/>
      <c r="DN31" s="14"/>
      <c r="DO31" s="14"/>
      <c r="FQ31" s="14"/>
      <c r="FR31" s="14"/>
      <c r="FS31" s="14"/>
      <c r="FT31" s="14"/>
      <c r="FU31" s="14"/>
      <c r="FV31" s="14">
        <v>200</v>
      </c>
      <c r="FW31" s="14"/>
      <c r="FX31" s="14"/>
      <c r="FY31" s="14"/>
    </row>
    <row r="32" spans="1:186" ht="15.95" customHeight="1">
      <c r="A32" s="89"/>
      <c r="B32" s="137"/>
      <c r="C32" s="91"/>
      <c r="D32" s="90"/>
      <c r="E32" s="89"/>
      <c r="F32" s="90"/>
      <c r="G32" s="87" t="str">
        <f>IF(BW90=0,"",BW90)</f>
        <v/>
      </c>
      <c r="H32" t="s">
        <v>1399</v>
      </c>
      <c r="I32" s="5" t="str">
        <f t="shared" si="15"/>
        <v>Steel, Hardened, &lt; 45 HRC</v>
      </c>
      <c r="J32" s="5" t="s">
        <v>1407</v>
      </c>
      <c r="K32" s="5" t="s">
        <v>1393</v>
      </c>
      <c r="L32" s="40" t="s">
        <v>877</v>
      </c>
      <c r="M32" s="5" t="s">
        <v>1027</v>
      </c>
      <c r="N32" s="5" t="s">
        <v>702</v>
      </c>
      <c r="O32" s="5" t="s">
        <v>1253</v>
      </c>
      <c r="P32" s="5" t="s">
        <v>1137</v>
      </c>
      <c r="Q32" s="5" t="s">
        <v>1127</v>
      </c>
      <c r="R32" s="5" t="s">
        <v>513</v>
      </c>
      <c r="S32" s="5" t="s">
        <v>25</v>
      </c>
      <c r="T32" s="5" t="s">
        <v>518</v>
      </c>
      <c r="U32" s="5" t="s">
        <v>1280</v>
      </c>
      <c r="V32" s="5" t="s">
        <v>283</v>
      </c>
      <c r="W32" s="5" t="s">
        <v>606</v>
      </c>
      <c r="X32" s="38" t="s">
        <v>463</v>
      </c>
      <c r="Y32" s="43" t="s">
        <v>878</v>
      </c>
      <c r="Z32" s="39" t="s">
        <v>879</v>
      </c>
      <c r="AA32" s="45" t="s">
        <v>880</v>
      </c>
      <c r="AB32" s="5" t="s">
        <v>264</v>
      </c>
      <c r="AD32" s="131">
        <v>31</v>
      </c>
      <c r="AE32" s="266">
        <v>1</v>
      </c>
      <c r="AF32" s="266">
        <v>1</v>
      </c>
      <c r="AG32" s="266">
        <v>2</v>
      </c>
      <c r="AH32" s="263" t="s">
        <v>1530</v>
      </c>
      <c r="AI32" s="249">
        <v>0.375</v>
      </c>
      <c r="AJ32" s="249">
        <v>0.35</v>
      </c>
      <c r="AK32" s="250">
        <v>4</v>
      </c>
      <c r="AL32" s="251">
        <v>13</v>
      </c>
      <c r="AM32" s="249">
        <v>0.875</v>
      </c>
      <c r="AN32" s="252">
        <v>3.5</v>
      </c>
      <c r="AO32" s="263">
        <v>0.48</v>
      </c>
      <c r="AP32" s="55">
        <f t="shared" si="0"/>
        <v>31</v>
      </c>
      <c r="AQ32" s="16" t="b">
        <f t="shared" si="1"/>
        <v>0</v>
      </c>
      <c r="AR32" s="16" t="b">
        <f t="shared" si="2"/>
        <v>0</v>
      </c>
      <c r="AS32" s="16">
        <f t="shared" si="3"/>
        <v>31</v>
      </c>
      <c r="AT32" s="16">
        <f t="shared" si="4"/>
        <v>31</v>
      </c>
      <c r="AU32" s="16" t="b">
        <f t="shared" si="5"/>
        <v>0</v>
      </c>
      <c r="BA32" s="61">
        <v>30</v>
      </c>
      <c r="BB32" s="157">
        <v>590</v>
      </c>
      <c r="BC32" s="272">
        <v>1.6000000000000001E-3</v>
      </c>
      <c r="BD32" s="272">
        <v>2.3999999999999998E-3</v>
      </c>
      <c r="BE32" s="76"/>
      <c r="BF32" s="65"/>
      <c r="BH32" s="11"/>
      <c r="BI32" s="10"/>
      <c r="BO32" s="16"/>
      <c r="BP32" s="18"/>
      <c r="BS32" s="14">
        <v>1010032</v>
      </c>
      <c r="BT32" s="14">
        <f t="shared" si="13"/>
        <v>0</v>
      </c>
      <c r="BV32" s="8"/>
      <c r="DA32" s="24"/>
      <c r="DB32" s="14"/>
      <c r="DC32" s="14"/>
      <c r="DD32" s="14"/>
      <c r="DE32" s="14"/>
      <c r="DF32" s="14"/>
      <c r="DG32" s="14"/>
      <c r="DH32" s="14"/>
      <c r="DI32" s="14"/>
      <c r="DJ32" s="14"/>
      <c r="DK32" s="14"/>
      <c r="DL32" s="14"/>
      <c r="DM32" s="14"/>
      <c r="DN32" s="14"/>
      <c r="DO32" s="14"/>
      <c r="EI32" s="16"/>
      <c r="EK32" s="16"/>
      <c r="EW32" s="16"/>
      <c r="EY32" s="16"/>
      <c r="FQ32" s="14"/>
      <c r="FR32" s="14"/>
      <c r="FS32" s="14"/>
      <c r="FT32" s="14"/>
      <c r="FU32" s="14"/>
      <c r="FV32" s="14">
        <f>INT(FV31)</f>
        <v>200</v>
      </c>
      <c r="FW32" s="14"/>
      <c r="FX32" s="14"/>
      <c r="FY32" s="14"/>
    </row>
    <row r="33" spans="1:181" ht="15.95" customHeight="1">
      <c r="A33" s="89"/>
      <c r="B33" s="89"/>
      <c r="C33" s="89"/>
      <c r="D33" s="89"/>
      <c r="E33" s="89"/>
      <c r="F33" s="90"/>
      <c r="G33" s="87" t="str">
        <f>IF(BW93=0,"",BW93)</f>
        <v/>
      </c>
      <c r="H33" t="s">
        <v>1306</v>
      </c>
      <c r="I33" s="5" t="str">
        <f t="shared" si="15"/>
        <v>Steel, Hardened, &lt; 55 HRC</v>
      </c>
      <c r="J33" s="5" t="s">
        <v>1408</v>
      </c>
      <c r="K33" s="5" t="s">
        <v>1394</v>
      </c>
      <c r="L33" s="40" t="s">
        <v>881</v>
      </c>
      <c r="M33" s="5" t="s">
        <v>1028</v>
      </c>
      <c r="N33" s="5" t="s">
        <v>660</v>
      </c>
      <c r="O33" s="5" t="s">
        <v>1254</v>
      </c>
      <c r="P33" s="5" t="s">
        <v>1138</v>
      </c>
      <c r="Q33" s="5" t="s">
        <v>1128</v>
      </c>
      <c r="R33" s="5" t="s">
        <v>514</v>
      </c>
      <c r="S33" s="5" t="s">
        <v>26</v>
      </c>
      <c r="T33" s="5" t="s">
        <v>519</v>
      </c>
      <c r="U33" s="5" t="s">
        <v>1281</v>
      </c>
      <c r="V33" s="5" t="s">
        <v>284</v>
      </c>
      <c r="W33" s="5" t="s">
        <v>607</v>
      </c>
      <c r="X33" s="38" t="s">
        <v>464</v>
      </c>
      <c r="Y33" s="43" t="s">
        <v>882</v>
      </c>
      <c r="Z33" s="39" t="s">
        <v>883</v>
      </c>
      <c r="AA33" s="45" t="s">
        <v>884</v>
      </c>
      <c r="AB33" s="5" t="s">
        <v>1054</v>
      </c>
      <c r="AD33" s="131">
        <v>32</v>
      </c>
      <c r="AE33" s="266">
        <v>1</v>
      </c>
      <c r="AF33" s="266">
        <v>1</v>
      </c>
      <c r="AG33" s="266">
        <v>2</v>
      </c>
      <c r="AH33" s="263" t="s">
        <v>1531</v>
      </c>
      <c r="AI33" s="249">
        <v>0.375</v>
      </c>
      <c r="AJ33" s="249">
        <v>0.33500000000000002</v>
      </c>
      <c r="AK33" s="250">
        <v>4</v>
      </c>
      <c r="AL33" s="251">
        <v>20</v>
      </c>
      <c r="AM33" s="249">
        <v>0.875</v>
      </c>
      <c r="AN33" s="252">
        <v>3.5</v>
      </c>
      <c r="AO33" s="263">
        <v>0.41749999999999998</v>
      </c>
      <c r="AP33" s="55">
        <f t="shared" si="0"/>
        <v>32</v>
      </c>
      <c r="AQ33" s="16" t="b">
        <f t="shared" si="1"/>
        <v>0</v>
      </c>
      <c r="AR33" s="16" t="b">
        <f t="shared" si="2"/>
        <v>0</v>
      </c>
      <c r="AS33" s="16">
        <f t="shared" si="3"/>
        <v>32</v>
      </c>
      <c r="AT33" s="16">
        <f t="shared" si="4"/>
        <v>32</v>
      </c>
      <c r="AU33" s="16" t="b">
        <f t="shared" si="5"/>
        <v>0</v>
      </c>
      <c r="BA33" s="69"/>
      <c r="BB33" s="70"/>
      <c r="BC33" s="70"/>
      <c r="BD33" s="70"/>
      <c r="BE33" s="69"/>
      <c r="BF33" s="71"/>
      <c r="BO33" s="16"/>
      <c r="BP33" s="18"/>
      <c r="BS33" s="14">
        <v>1010111</v>
      </c>
      <c r="BT33" s="14">
        <f t="shared" si="13"/>
        <v>0</v>
      </c>
      <c r="BV33" s="8">
        <v>11</v>
      </c>
      <c r="BW33" s="54" t="str">
        <f>LOOKUP(BT$54,BX$2:CK$2,BX33:CK33)</f>
        <v>M30</v>
      </c>
      <c r="BY33" s="23" t="str">
        <f t="shared" si="11"/>
        <v>M30</v>
      </c>
      <c r="BZ33" s="23" t="str">
        <f>BY15</f>
        <v>G03 X0.1891 Y0.1563 Z0.0156 R0,1591</v>
      </c>
      <c r="CA33" s="23" t="str">
        <f>BY24</f>
        <v>G00 G40 X0. Y-0.1563</v>
      </c>
      <c r="CB33" s="23" t="str">
        <f>BZ24</f>
        <v>G00 G40 X0. Y-0.1563</v>
      </c>
      <c r="CC33" s="4" t="str">
        <f>CA42</f>
        <v>END1</v>
      </c>
      <c r="CD33" s="23" t="str">
        <f>CC33</f>
        <v>END1</v>
      </c>
      <c r="CE33" s="23" t="str">
        <f>BY24</f>
        <v>G00 G40 X0. Y-0.1563</v>
      </c>
      <c r="CF33" s="23" t="str">
        <f>BZ24</f>
        <v>G00 G40 X0. Y-0.1563</v>
      </c>
      <c r="CG33" s="23" t="str">
        <f>BY27</f>
        <v>G00 Z0.8219</v>
      </c>
      <c r="CH33" s="23" t="str">
        <f>BZ27</f>
        <v>G00 Z-0.0937</v>
      </c>
      <c r="CI33" s="23" t="str">
        <f>CE27</f>
        <v>G03 X0.191 Y0.1905 Z0.0156 I0.0005 J0.1905</v>
      </c>
      <c r="CJ33" s="23" t="str">
        <f>CF27</f>
        <v>G03 X0.1799 Y0.1794 Z0.0156 I0.0005 J0.1794</v>
      </c>
      <c r="CK33" s="23" t="str">
        <f>CONCATENATE(FQ33,FR33,FS33,FT33,FU33,FV33,FW33,FX33,FY33,FZ33,GA33,GB33,GC33,GD33)</f>
        <v>G90 G49 G00 Z200. M5</v>
      </c>
      <c r="CL33" s="105">
        <v>11</v>
      </c>
      <c r="CM33" s="16" t="s">
        <v>885</v>
      </c>
      <c r="DA33" s="24"/>
      <c r="DB33" s="14"/>
      <c r="DC33" s="14"/>
      <c r="DD33" s="14"/>
      <c r="DE33" s="14"/>
      <c r="DF33" s="14"/>
      <c r="DG33" s="14"/>
      <c r="DH33" s="14"/>
      <c r="DI33" s="14"/>
      <c r="DJ33" s="14"/>
      <c r="DK33" s="14"/>
      <c r="DL33" s="14"/>
      <c r="DM33" s="14"/>
      <c r="DN33" s="14"/>
      <c r="DO33" s="14"/>
      <c r="EE33" s="26"/>
      <c r="EL33" s="14" t="str">
        <f>IF(EK31=EK32,".","")</f>
        <v>.</v>
      </c>
      <c r="ES33" s="26"/>
      <c r="EZ33" s="14" t="str">
        <f>IF(EY31=EY32,".","")</f>
        <v>.</v>
      </c>
      <c r="FG33" s="105"/>
      <c r="FH33" s="16"/>
      <c r="FP33" s="105">
        <v>11</v>
      </c>
      <c r="FQ33" s="14" t="s">
        <v>446</v>
      </c>
      <c r="FR33" s="14" t="s">
        <v>872</v>
      </c>
      <c r="FS33" s="14"/>
      <c r="FT33" s="14" t="s">
        <v>175</v>
      </c>
      <c r="FU33" s="14" t="s">
        <v>181</v>
      </c>
      <c r="FV33" s="14" t="str">
        <f>SUBSTITUTE(FV31,",",".")</f>
        <v>200</v>
      </c>
      <c r="FW33" s="14" t="str">
        <f>IF(FV31=FV32,". M5"," M5")</f>
        <v>. M5</v>
      </c>
      <c r="FX33" s="14"/>
      <c r="FY33" s="14"/>
    </row>
    <row r="34" spans="1:181" ht="15.95" customHeight="1">
      <c r="A34" s="89"/>
      <c r="B34" s="342" t="str">
        <f>I93</f>
        <v>Please read before use!</v>
      </c>
      <c r="C34" s="89"/>
      <c r="D34" s="89"/>
      <c r="E34" s="89"/>
      <c r="F34" s="96"/>
      <c r="G34" s="87" t="str">
        <f>IF(BW96=0,"",BW96)</f>
        <v/>
      </c>
      <c r="H34" t="s">
        <v>1307</v>
      </c>
      <c r="I34" s="5" t="str">
        <f t="shared" si="15"/>
        <v>Steel, Hardened, &lt; 65 HRC</v>
      </c>
      <c r="J34" s="5" t="s">
        <v>557</v>
      </c>
      <c r="K34" s="5" t="s">
        <v>268</v>
      </c>
      <c r="L34" s="40" t="s">
        <v>890</v>
      </c>
      <c r="M34" s="5" t="s">
        <v>1029</v>
      </c>
      <c r="N34" s="5" t="s">
        <v>776</v>
      </c>
      <c r="O34" s="5" t="s">
        <v>1255</v>
      </c>
      <c r="P34" s="5" t="s">
        <v>193</v>
      </c>
      <c r="Q34" s="5" t="s">
        <v>196</v>
      </c>
      <c r="R34" s="5" t="s">
        <v>516</v>
      </c>
      <c r="S34" s="5" t="s">
        <v>27</v>
      </c>
      <c r="T34" s="5" t="s">
        <v>1440</v>
      </c>
      <c r="U34" s="5" t="s">
        <v>1282</v>
      </c>
      <c r="V34" s="5" t="s">
        <v>285</v>
      </c>
      <c r="W34" s="5" t="s">
        <v>608</v>
      </c>
      <c r="X34" s="38" t="s">
        <v>451</v>
      </c>
      <c r="Y34" s="43" t="s">
        <v>891</v>
      </c>
      <c r="Z34" s="39" t="s">
        <v>892</v>
      </c>
      <c r="AA34" s="45" t="s">
        <v>893</v>
      </c>
      <c r="AB34" s="5" t="s">
        <v>1055</v>
      </c>
      <c r="AD34" s="131">
        <v>33</v>
      </c>
      <c r="AE34" s="266">
        <v>1</v>
      </c>
      <c r="AF34" s="266">
        <v>1</v>
      </c>
      <c r="AG34" s="266">
        <v>2</v>
      </c>
      <c r="AH34" s="263" t="s">
        <v>1532</v>
      </c>
      <c r="AI34" s="249">
        <v>0.312</v>
      </c>
      <c r="AJ34" s="249">
        <v>0.30499999999999999</v>
      </c>
      <c r="AK34" s="250">
        <v>4</v>
      </c>
      <c r="AL34" s="251">
        <v>14</v>
      </c>
      <c r="AM34" s="249">
        <v>0.75</v>
      </c>
      <c r="AN34" s="252">
        <v>3</v>
      </c>
      <c r="AO34" s="263">
        <v>0.41749999999999998</v>
      </c>
      <c r="AP34" s="55">
        <f t="shared" si="0"/>
        <v>33</v>
      </c>
      <c r="AQ34" s="16" t="b">
        <f t="shared" si="1"/>
        <v>0</v>
      </c>
      <c r="AR34" s="16" t="b">
        <f t="shared" si="2"/>
        <v>0</v>
      </c>
      <c r="AS34" s="16">
        <f t="shared" si="3"/>
        <v>33</v>
      </c>
      <c r="AT34" s="16">
        <f t="shared" si="4"/>
        <v>33</v>
      </c>
      <c r="AU34" s="16" t="b">
        <f t="shared" si="5"/>
        <v>0</v>
      </c>
      <c r="BA34" s="8"/>
      <c r="BB34" s="12"/>
      <c r="BC34" s="12"/>
      <c r="BD34" s="8"/>
      <c r="BE34" s="9"/>
      <c r="BF34" s="9"/>
      <c r="BG34" s="7"/>
      <c r="BH34" s="9"/>
      <c r="BI34" s="9"/>
      <c r="BJ34" s="9"/>
      <c r="BS34" s="14">
        <v>1010112</v>
      </c>
      <c r="BT34" s="14">
        <f t="shared" si="13"/>
        <v>0</v>
      </c>
      <c r="BV34" s="8"/>
      <c r="BY34" s="23" t="str">
        <f t="shared" si="11"/>
        <v/>
      </c>
      <c r="DA34" s="24"/>
      <c r="DB34" s="14"/>
      <c r="DC34" s="14"/>
      <c r="DD34" s="14"/>
      <c r="DE34" s="14"/>
      <c r="DF34" s="14"/>
      <c r="DG34" s="14"/>
      <c r="DH34" s="14"/>
      <c r="DI34" s="14"/>
      <c r="DJ34" s="14"/>
      <c r="DK34" s="14"/>
      <c r="DL34" s="14"/>
      <c r="DM34" s="14"/>
      <c r="DN34" s="14"/>
      <c r="DO34" s="14"/>
      <c r="DP34" s="26"/>
      <c r="DS34" s="339">
        <f>ROUND(BP7-(BL6*1.5),4)</f>
        <v>0.65629999999999999</v>
      </c>
      <c r="FY34"/>
    </row>
    <row r="35" spans="1:181" ht="15.95" customHeight="1">
      <c r="A35" s="89"/>
      <c r="B35" s="152"/>
      <c r="C35" s="89"/>
      <c r="D35" s="89"/>
      <c r="E35" s="89"/>
      <c r="F35" s="143" t="s">
        <v>894</v>
      </c>
      <c r="G35" s="87" t="str">
        <f>IF(BW99=0,"",BW99)</f>
        <v/>
      </c>
      <c r="H35" t="s">
        <v>1304</v>
      </c>
      <c r="I35" s="5" t="str">
        <f t="shared" si="15"/>
        <v>Cast iron, Lamellar Graphite, &lt; 500 N/mm2</v>
      </c>
      <c r="J35" s="5" t="s">
        <v>596</v>
      </c>
      <c r="K35" s="5" t="s">
        <v>613</v>
      </c>
      <c r="L35" s="40" t="s">
        <v>899</v>
      </c>
      <c r="M35" s="5" t="s">
        <v>1030</v>
      </c>
      <c r="N35" s="5" t="s">
        <v>1369</v>
      </c>
      <c r="O35" s="5" t="s">
        <v>1256</v>
      </c>
      <c r="P35" s="5" t="s">
        <v>357</v>
      </c>
      <c r="Q35" s="5" t="s">
        <v>356</v>
      </c>
      <c r="R35" s="5" t="s">
        <v>517</v>
      </c>
      <c r="S35" s="5" t="s">
        <v>28</v>
      </c>
      <c r="T35" s="5" t="s">
        <v>449</v>
      </c>
      <c r="U35" s="5" t="s">
        <v>1283</v>
      </c>
      <c r="V35" s="5" t="s">
        <v>286</v>
      </c>
      <c r="W35" s="5" t="s">
        <v>1420</v>
      </c>
      <c r="X35" s="38" t="s">
        <v>452</v>
      </c>
      <c r="Y35" s="43" t="s">
        <v>900</v>
      </c>
      <c r="Z35" s="39" t="s">
        <v>901</v>
      </c>
      <c r="AA35" s="45" t="s">
        <v>902</v>
      </c>
      <c r="AB35" s="5" t="s">
        <v>1056</v>
      </c>
      <c r="AD35" s="131">
        <v>34</v>
      </c>
      <c r="AE35" s="266">
        <v>1</v>
      </c>
      <c r="AF35" s="266">
        <v>1</v>
      </c>
      <c r="AG35" s="266">
        <v>2</v>
      </c>
      <c r="AH35" s="263" t="s">
        <v>1533</v>
      </c>
      <c r="AI35" s="249">
        <v>0.312</v>
      </c>
      <c r="AJ35" s="249">
        <v>0.28499999999999998</v>
      </c>
      <c r="AK35" s="250">
        <v>4</v>
      </c>
      <c r="AL35" s="251">
        <v>24</v>
      </c>
      <c r="AM35" s="249">
        <v>0.75</v>
      </c>
      <c r="AN35" s="252">
        <v>3</v>
      </c>
      <c r="AO35" s="263">
        <v>0.35499999999999998</v>
      </c>
      <c r="AP35" s="55">
        <f t="shared" si="0"/>
        <v>34</v>
      </c>
      <c r="AQ35" s="16">
        <f t="shared" si="1"/>
        <v>34</v>
      </c>
      <c r="AR35" s="16" t="b">
        <f t="shared" si="2"/>
        <v>0</v>
      </c>
      <c r="AS35" s="16">
        <f t="shared" si="3"/>
        <v>34</v>
      </c>
      <c r="AT35" s="16">
        <f t="shared" si="4"/>
        <v>34</v>
      </c>
      <c r="AU35" s="16" t="b">
        <f t="shared" si="5"/>
        <v>0</v>
      </c>
      <c r="BA35" s="8"/>
      <c r="BB35" s="12"/>
      <c r="BC35" s="12"/>
      <c r="BD35" s="12"/>
      <c r="BE35" s="12"/>
      <c r="BF35" s="12"/>
      <c r="BG35" s="12"/>
      <c r="BH35" s="12"/>
      <c r="BI35" s="12"/>
      <c r="BJ35" s="12"/>
      <c r="BS35" s="14">
        <v>1010121</v>
      </c>
      <c r="BT35" s="14">
        <f t="shared" si="13"/>
        <v>0</v>
      </c>
      <c r="BV35" s="8"/>
      <c r="BY35" s="23" t="str">
        <f t="shared" si="11"/>
        <v/>
      </c>
      <c r="CV35" s="14"/>
      <c r="DA35" s="24"/>
      <c r="DB35" s="14"/>
      <c r="DC35" s="14"/>
      <c r="DD35" s="14"/>
      <c r="DE35" s="14"/>
      <c r="DF35" s="14"/>
      <c r="DG35" s="14"/>
      <c r="DH35" s="14"/>
      <c r="DI35" s="14"/>
      <c r="DJ35" s="14"/>
      <c r="DK35" s="14"/>
      <c r="DL35" s="14"/>
      <c r="DM35" s="14"/>
      <c r="DN35" s="14"/>
      <c r="DO35" s="14"/>
      <c r="DS35" s="53">
        <f>INT(DS34)</f>
        <v>0</v>
      </c>
      <c r="FY35"/>
    </row>
    <row r="36" spans="1:181" ht="15.95" customHeight="1">
      <c r="G36" s="5" t="str">
        <f>IF(BW102=0,"",BW102)</f>
        <v/>
      </c>
      <c r="H36" t="s">
        <v>1308</v>
      </c>
      <c r="I36" s="5" t="str">
        <f t="shared" si="15"/>
        <v>Cast iron, Lamellar Graphite, &lt; 1000 N/mm2</v>
      </c>
      <c r="J36" s="5" t="s">
        <v>635</v>
      </c>
      <c r="K36" s="5" t="s">
        <v>1382</v>
      </c>
      <c r="L36" s="40" t="s">
        <v>903</v>
      </c>
      <c r="M36" s="5" t="s">
        <v>1031</v>
      </c>
      <c r="N36" s="5" t="s">
        <v>1370</v>
      </c>
      <c r="O36" s="5" t="s">
        <v>641</v>
      </c>
      <c r="P36" s="5" t="s">
        <v>173</v>
      </c>
      <c r="Q36" s="5" t="s">
        <v>1110</v>
      </c>
      <c r="R36" s="5" t="s">
        <v>119</v>
      </c>
      <c r="S36" s="5" t="s">
        <v>29</v>
      </c>
      <c r="T36" s="5" t="s">
        <v>227</v>
      </c>
      <c r="U36" s="5" t="s">
        <v>659</v>
      </c>
      <c r="V36" s="5" t="s">
        <v>287</v>
      </c>
      <c r="W36" s="5" t="s">
        <v>599</v>
      </c>
      <c r="X36" s="38" t="s">
        <v>453</v>
      </c>
      <c r="Y36" s="43" t="s">
        <v>904</v>
      </c>
      <c r="Z36" s="39" t="s">
        <v>639</v>
      </c>
      <c r="AA36" s="45" t="s">
        <v>905</v>
      </c>
      <c r="AB36" s="5" t="s">
        <v>1057</v>
      </c>
      <c r="AD36" s="131">
        <v>35</v>
      </c>
      <c r="AE36" s="266">
        <v>1</v>
      </c>
      <c r="AF36" s="266">
        <v>1</v>
      </c>
      <c r="AG36" s="266">
        <v>2</v>
      </c>
      <c r="AH36" s="263" t="s">
        <v>1534</v>
      </c>
      <c r="AI36" s="249">
        <v>0.312</v>
      </c>
      <c r="AJ36" s="249">
        <v>0.28499999999999998</v>
      </c>
      <c r="AK36" s="250">
        <v>4</v>
      </c>
      <c r="AL36" s="251">
        <v>16</v>
      </c>
      <c r="AM36" s="249">
        <v>0.75</v>
      </c>
      <c r="AN36" s="252">
        <v>3</v>
      </c>
      <c r="AO36" s="263">
        <v>0.35499999999999998</v>
      </c>
      <c r="AP36" s="55">
        <f t="shared" si="0"/>
        <v>35</v>
      </c>
      <c r="AQ36" s="16">
        <f t="shared" si="1"/>
        <v>35</v>
      </c>
      <c r="AR36" s="16">
        <f t="shared" si="2"/>
        <v>35</v>
      </c>
      <c r="AS36" s="16">
        <f t="shared" si="3"/>
        <v>35</v>
      </c>
      <c r="AT36" s="16">
        <f t="shared" si="4"/>
        <v>35</v>
      </c>
      <c r="AU36" s="16">
        <f t="shared" si="5"/>
        <v>35</v>
      </c>
      <c r="BA36" s="8"/>
      <c r="BB36" s="7"/>
      <c r="BC36" s="13"/>
      <c r="BD36" s="13"/>
      <c r="BE36" s="13"/>
      <c r="BF36" s="13"/>
      <c r="BG36" s="13"/>
      <c r="BH36" s="173" t="s">
        <v>442</v>
      </c>
      <c r="BI36" s="172">
        <v>1</v>
      </c>
      <c r="BJ36" s="168" t="s">
        <v>907</v>
      </c>
      <c r="BK36" s="169"/>
      <c r="BS36" s="14">
        <v>1010122</v>
      </c>
      <c r="BT36" s="14">
        <f t="shared" si="13"/>
        <v>0</v>
      </c>
      <c r="BV36" s="8">
        <v>12</v>
      </c>
      <c r="BW36" s="54" t="str">
        <f>LOOKUP(BT$54,BX$2:CK$2,BX36:CK36)</f>
        <v/>
      </c>
      <c r="BY36" s="23" t="str">
        <f t="shared" si="11"/>
        <v/>
      </c>
      <c r="BZ36" s="23" t="str">
        <f>BY18</f>
        <v>G03 X0. Y0. Z0.0625 I-0.1891 J0. F4,6</v>
      </c>
      <c r="CA36" s="23" t="str">
        <f>CONCATENATE(DQ36,DR36,DS36,DT36)</f>
        <v>G00 Z0.6563</v>
      </c>
      <c r="CB36" s="23" t="str">
        <f>BZ27</f>
        <v>G00 Z-0.0937</v>
      </c>
      <c r="CC36" s="4" t="str">
        <f>BY21</f>
        <v>G03 X-0.1891 Y0.1563 Z0.0156 R0,1591</v>
      </c>
      <c r="CD36" s="23" t="str">
        <f>BZ21</f>
        <v>G03 X-0.1779 Y0.1563 Z0.0156 R0,1576</v>
      </c>
      <c r="CE36" s="23" t="str">
        <f>BY27</f>
        <v>G00 Z0.8219</v>
      </c>
      <c r="CF36" s="23" t="str">
        <f>BZ27</f>
        <v>G00 Z-0.0937</v>
      </c>
      <c r="CG36" s="23" t="str">
        <f>BY30</f>
        <v>G90 G49 G00 Z8. M5</v>
      </c>
      <c r="CH36" s="23" t="str">
        <f>BZ30</f>
        <v>G41 D10 X0. Y-0,1563 F2,3</v>
      </c>
      <c r="CI36" s="23" t="str">
        <f>CE30</f>
        <v>G03 X-0.191 Y0.1563 Z0.0156 R0,1594</v>
      </c>
      <c r="CJ36" s="23" t="str">
        <f>CF30</f>
        <v>G03 X-0.1799 Y0.1563 Z0.0156 R0,1579</v>
      </c>
      <c r="CK36" s="23" t="str">
        <f>CONCATENATE(FQ36,FR36,FS36,FT36,FU36,FV36,FW36,FX36,FY36,FZ36,GA36,GB36,GC36,GD36)</f>
        <v>M30</v>
      </c>
      <c r="CV36" s="14"/>
      <c r="DA36" s="24"/>
      <c r="DB36" s="14"/>
      <c r="DC36" s="14"/>
      <c r="DD36" s="14"/>
      <c r="DE36" s="14"/>
      <c r="DF36" s="14"/>
      <c r="DG36" s="14"/>
      <c r="DH36" s="14"/>
      <c r="DI36" s="14"/>
      <c r="DJ36" s="14"/>
      <c r="DK36" s="14"/>
      <c r="DL36" s="14"/>
      <c r="DM36" s="14"/>
      <c r="DN36" s="14"/>
      <c r="DO36" s="14"/>
      <c r="DP36" s="26">
        <v>12</v>
      </c>
      <c r="DQ36" s="53" t="s">
        <v>672</v>
      </c>
      <c r="DR36" s="53" t="s">
        <v>673</v>
      </c>
      <c r="DS36" s="53" t="str">
        <f>SUBSTITUTE(DS34,",",".")</f>
        <v>0.6563</v>
      </c>
      <c r="DT36" s="53" t="str">
        <f>IF(DS34=DS35,".","")</f>
        <v/>
      </c>
      <c r="FP36" s="105">
        <v>12</v>
      </c>
      <c r="FQ36" s="16" t="s">
        <v>885</v>
      </c>
      <c r="FY36"/>
    </row>
    <row r="37" spans="1:181" ht="15.95" customHeight="1">
      <c r="G37" s="5" t="str">
        <f>IF(BW105=0,"",BW105)</f>
        <v/>
      </c>
      <c r="H37" t="s">
        <v>1309</v>
      </c>
      <c r="I37" s="5" t="str">
        <f t="shared" si="15"/>
        <v>Cast iron, Nodular Grap., Malleable, &lt; 700 N/mm2</v>
      </c>
      <c r="J37" s="5" t="s">
        <v>1397</v>
      </c>
      <c r="K37" s="5" t="s">
        <v>1383</v>
      </c>
      <c r="L37" s="40" t="s">
        <v>908</v>
      </c>
      <c r="M37" s="5" t="s">
        <v>1032</v>
      </c>
      <c r="N37" s="5" t="s">
        <v>133</v>
      </c>
      <c r="O37" s="5" t="s">
        <v>1301</v>
      </c>
      <c r="P37" s="5" t="s">
        <v>174</v>
      </c>
      <c r="Q37" s="5" t="s">
        <v>1076</v>
      </c>
      <c r="R37" s="5" t="s">
        <v>435</v>
      </c>
      <c r="S37" s="5" t="s">
        <v>30</v>
      </c>
      <c r="T37" s="5" t="s">
        <v>228</v>
      </c>
      <c r="U37" s="5" t="s">
        <v>585</v>
      </c>
      <c r="V37" s="5" t="s">
        <v>288</v>
      </c>
      <c r="W37" s="5" t="s">
        <v>600</v>
      </c>
      <c r="X37" s="38" t="s">
        <v>454</v>
      </c>
      <c r="Y37" s="43" t="s">
        <v>909</v>
      </c>
      <c r="Z37" s="39" t="s">
        <v>910</v>
      </c>
      <c r="AA37" s="45" t="s">
        <v>911</v>
      </c>
      <c r="AB37" s="5" t="s">
        <v>1058</v>
      </c>
      <c r="AD37" s="131">
        <v>36</v>
      </c>
      <c r="AE37" s="266">
        <v>1</v>
      </c>
      <c r="AF37" s="266">
        <v>1</v>
      </c>
      <c r="AG37" s="266">
        <v>2</v>
      </c>
      <c r="AH37" s="263" t="s">
        <v>1535</v>
      </c>
      <c r="AI37" s="249">
        <v>0.25</v>
      </c>
      <c r="AJ37" s="249">
        <v>0.23499999999999999</v>
      </c>
      <c r="AK37" s="250">
        <v>3</v>
      </c>
      <c r="AL37" s="251">
        <v>24</v>
      </c>
      <c r="AM37" s="249">
        <v>0.625</v>
      </c>
      <c r="AN37" s="252">
        <v>2.5</v>
      </c>
      <c r="AO37" s="263">
        <v>0.30249999999999999</v>
      </c>
      <c r="AP37" s="55">
        <f t="shared" si="0"/>
        <v>36</v>
      </c>
      <c r="AQ37" s="16">
        <f t="shared" si="1"/>
        <v>36</v>
      </c>
      <c r="AR37" s="16" t="b">
        <f t="shared" si="2"/>
        <v>0</v>
      </c>
      <c r="AS37" s="16" t="b">
        <f t="shared" si="3"/>
        <v>0</v>
      </c>
      <c r="AT37" s="16">
        <f t="shared" si="4"/>
        <v>36</v>
      </c>
      <c r="AU37" s="16" t="b">
        <f t="shared" si="5"/>
        <v>0</v>
      </c>
      <c r="BA37" s="12"/>
      <c r="BB37" s="7"/>
      <c r="BC37" s="9"/>
      <c r="BD37" s="9"/>
      <c r="BE37" s="9"/>
      <c r="BF37" s="9"/>
      <c r="BG37" s="9"/>
      <c r="BH37" s="171"/>
      <c r="BI37" s="172">
        <v>2</v>
      </c>
      <c r="BJ37" s="170" t="s">
        <v>912</v>
      </c>
      <c r="BK37" s="169"/>
      <c r="BO37" s="229" t="s">
        <v>442</v>
      </c>
      <c r="BP37" s="230">
        <v>1</v>
      </c>
      <c r="BS37" s="14">
        <v>1010131</v>
      </c>
      <c r="BT37" s="14">
        <f t="shared" si="13"/>
        <v>0</v>
      </c>
      <c r="BV37" s="8"/>
      <c r="BY37" s="23" t="str">
        <f t="shared" si="11"/>
        <v/>
      </c>
      <c r="CK37" s="23" t="str">
        <f>CONCATENATE(FQ37,FR37,FS37,FT37,FU37,FV37,FW37,FX37,FY37,FZ37,GA37,GB37,GC37,GD37)</f>
        <v/>
      </c>
      <c r="CV37" s="14"/>
      <c r="DA37" s="24"/>
      <c r="DB37" s="14"/>
      <c r="DC37" s="14"/>
      <c r="DD37" s="14"/>
      <c r="DE37" s="14"/>
      <c r="DF37" s="14"/>
      <c r="DG37" s="14"/>
      <c r="DH37" s="14"/>
      <c r="DI37" s="14"/>
      <c r="DJ37" s="14"/>
      <c r="DK37" s="14"/>
      <c r="DL37" s="14"/>
      <c r="DM37" s="14"/>
      <c r="DN37" s="14"/>
      <c r="DO37" s="14"/>
      <c r="DP37" s="26"/>
      <c r="FY37"/>
    </row>
    <row r="38" spans="1:181" ht="15.95" customHeight="1">
      <c r="G38" s="5" t="str">
        <f>IF(BW108=0,"",BW108)</f>
        <v/>
      </c>
      <c r="H38" t="s">
        <v>1305</v>
      </c>
      <c r="I38" s="5" t="str">
        <f t="shared" si="15"/>
        <v>Cast iron, Nodular Grap., Malleable, &lt; 1000 N/mm2</v>
      </c>
      <c r="J38" s="5" t="s">
        <v>722</v>
      </c>
      <c r="K38" s="5" t="s">
        <v>703</v>
      </c>
      <c r="L38" s="40" t="s">
        <v>914</v>
      </c>
      <c r="M38" s="5" t="s">
        <v>1033</v>
      </c>
      <c r="N38" s="5" t="s">
        <v>134</v>
      </c>
      <c r="O38" s="5" t="s">
        <v>1295</v>
      </c>
      <c r="P38" s="5" t="s">
        <v>182</v>
      </c>
      <c r="Q38" s="5" t="s">
        <v>1077</v>
      </c>
      <c r="R38" s="5" t="s">
        <v>438</v>
      </c>
      <c r="S38" s="5" t="s">
        <v>20</v>
      </c>
      <c r="T38" s="5" t="s">
        <v>229</v>
      </c>
      <c r="U38" s="5" t="s">
        <v>586</v>
      </c>
      <c r="V38" s="5" t="s">
        <v>289</v>
      </c>
      <c r="W38" s="5" t="s">
        <v>726</v>
      </c>
      <c r="X38" s="38" t="s">
        <v>455</v>
      </c>
      <c r="Y38" s="43" t="s">
        <v>915</v>
      </c>
      <c r="Z38" s="39" t="s">
        <v>916</v>
      </c>
      <c r="AA38" s="45" t="s">
        <v>917</v>
      </c>
      <c r="AB38" s="5" t="s">
        <v>1059</v>
      </c>
      <c r="AD38" s="131">
        <v>37</v>
      </c>
      <c r="AE38" s="266">
        <v>1</v>
      </c>
      <c r="AF38" s="266">
        <v>1</v>
      </c>
      <c r="AG38" s="266">
        <v>2</v>
      </c>
      <c r="AH38" s="263" t="s">
        <v>1536</v>
      </c>
      <c r="AI38" s="249">
        <v>0.25</v>
      </c>
      <c r="AJ38" s="249">
        <v>0.23499999999999999</v>
      </c>
      <c r="AK38" s="250">
        <v>3</v>
      </c>
      <c r="AL38" s="251">
        <v>18</v>
      </c>
      <c r="AM38" s="249">
        <v>0.625</v>
      </c>
      <c r="AN38" s="252">
        <v>2.5</v>
      </c>
      <c r="AO38" s="263">
        <v>0.30249999999999999</v>
      </c>
      <c r="AP38" s="55">
        <f t="shared" si="0"/>
        <v>37</v>
      </c>
      <c r="AQ38" s="16">
        <f t="shared" si="1"/>
        <v>37</v>
      </c>
      <c r="AR38" s="16" t="b">
        <f t="shared" si="2"/>
        <v>0</v>
      </c>
      <c r="AS38" s="16" t="b">
        <f t="shared" si="3"/>
        <v>0</v>
      </c>
      <c r="AT38" s="16">
        <f t="shared" si="4"/>
        <v>37</v>
      </c>
      <c r="AU38" s="16" t="b">
        <f t="shared" si="5"/>
        <v>0</v>
      </c>
      <c r="BA38" s="12"/>
      <c r="BB38" s="7"/>
      <c r="BC38" s="9"/>
      <c r="BD38" s="9"/>
      <c r="BE38" s="9"/>
      <c r="BF38" s="9"/>
      <c r="BG38" s="9"/>
      <c r="BH38" s="171"/>
      <c r="BI38" s="172">
        <v>3</v>
      </c>
      <c r="BJ38" s="170" t="s">
        <v>918</v>
      </c>
      <c r="BK38" s="167"/>
      <c r="BL38" s="9"/>
      <c r="BS38" s="14">
        <v>1010132</v>
      </c>
      <c r="BT38" s="14">
        <f t="shared" si="13"/>
        <v>0</v>
      </c>
      <c r="BV38" s="8"/>
      <c r="BY38" s="23" t="str">
        <f t="shared" si="11"/>
        <v/>
      </c>
      <c r="CK38" s="23" t="str">
        <f>CONCATENATE(FQ38,FR38,FS38,FT38,FU38,FV38,FW38,FX38,FY38,FZ38,GA38,GB38,GC38,GD38)</f>
        <v/>
      </c>
      <c r="CV38" s="14"/>
      <c r="DA38" s="24"/>
      <c r="DB38" s="14"/>
      <c r="DC38" s="14"/>
      <c r="DD38" s="14"/>
      <c r="DE38" s="14"/>
      <c r="DF38" s="14"/>
      <c r="DG38" s="14"/>
      <c r="DH38" s="14"/>
      <c r="DI38" s="14"/>
      <c r="DJ38" s="14"/>
      <c r="DK38" s="14"/>
      <c r="DL38" s="14"/>
      <c r="DM38" s="14"/>
      <c r="DN38" s="14"/>
      <c r="DO38" s="14"/>
      <c r="FY38"/>
    </row>
    <row r="39" spans="1:181" ht="15.95" customHeight="1">
      <c r="B39" s="84"/>
      <c r="G39" s="5" t="str">
        <f>IF(BW111=0,"",BW111)</f>
        <v/>
      </c>
      <c r="H39" t="s">
        <v>1112</v>
      </c>
      <c r="I39" s="5" t="str">
        <f t="shared" si="15"/>
        <v>Stainless steel, Free Machining</v>
      </c>
      <c r="J39" s="5" t="s">
        <v>542</v>
      </c>
      <c r="K39" s="5" t="s">
        <v>704</v>
      </c>
      <c r="L39" s="40" t="s">
        <v>919</v>
      </c>
      <c r="M39" s="5" t="s">
        <v>1034</v>
      </c>
      <c r="N39" s="5" t="s">
        <v>593</v>
      </c>
      <c r="O39" s="5" t="s">
        <v>1296</v>
      </c>
      <c r="P39" s="5" t="s">
        <v>364</v>
      </c>
      <c r="Q39" s="5" t="s">
        <v>1078</v>
      </c>
      <c r="R39" s="5" t="s">
        <v>439</v>
      </c>
      <c r="S39" s="5" t="s">
        <v>21</v>
      </c>
      <c r="T39" s="5" t="s">
        <v>230</v>
      </c>
      <c r="U39" s="5" t="s">
        <v>587</v>
      </c>
      <c r="V39" s="5" t="s">
        <v>533</v>
      </c>
      <c r="W39" s="5" t="s">
        <v>727</v>
      </c>
      <c r="X39" s="38" t="s">
        <v>398</v>
      </c>
      <c r="Y39" s="43" t="s">
        <v>920</v>
      </c>
      <c r="Z39" s="39" t="s">
        <v>921</v>
      </c>
      <c r="AA39" s="45" t="s">
        <v>922</v>
      </c>
      <c r="AB39" s="5" t="s">
        <v>1060</v>
      </c>
      <c r="AD39" s="131">
        <v>38</v>
      </c>
      <c r="AE39" s="266">
        <v>1</v>
      </c>
      <c r="AF39" s="266">
        <v>1</v>
      </c>
      <c r="AG39" s="266">
        <v>2</v>
      </c>
      <c r="AH39" s="263" t="s">
        <v>1537</v>
      </c>
      <c r="AI39" s="249">
        <v>0.187</v>
      </c>
      <c r="AJ39" s="249">
        <v>0.18</v>
      </c>
      <c r="AK39" s="250">
        <v>3</v>
      </c>
      <c r="AL39" s="251">
        <v>28</v>
      </c>
      <c r="AM39" s="249">
        <v>0.5</v>
      </c>
      <c r="AN39" s="252">
        <v>2.5</v>
      </c>
      <c r="AO39" s="263">
        <v>0.24</v>
      </c>
      <c r="AP39" s="55">
        <f t="shared" si="0"/>
        <v>38</v>
      </c>
      <c r="AQ39" s="16">
        <f t="shared" si="1"/>
        <v>38</v>
      </c>
      <c r="AR39" s="16" t="b">
        <f t="shared" si="2"/>
        <v>0</v>
      </c>
      <c r="AS39" s="16" t="b">
        <f t="shared" si="3"/>
        <v>0</v>
      </c>
      <c r="AT39" s="16">
        <f t="shared" si="4"/>
        <v>38</v>
      </c>
      <c r="AU39" s="16" t="b">
        <f t="shared" si="5"/>
        <v>0</v>
      </c>
      <c r="BA39" s="12"/>
      <c r="BB39" s="7"/>
      <c r="BC39" s="9"/>
      <c r="BD39" s="9"/>
      <c r="BE39" s="9"/>
      <c r="BF39" s="9"/>
      <c r="BG39" s="9"/>
      <c r="BJ39" s="9"/>
      <c r="BK39" s="9"/>
      <c r="BL39" s="9"/>
      <c r="BP39" s="16">
        <f>LOOKUP(BE12,AD2:AD198,AF2:AF198)</f>
        <v>1</v>
      </c>
      <c r="BS39" s="14"/>
      <c r="BT39" s="14"/>
      <c r="BV39" s="8">
        <v>13</v>
      </c>
      <c r="BW39" s="54" t="str">
        <f>LOOKUP(BT$54,BX$2:CK$2,BX39:CK39)</f>
        <v/>
      </c>
      <c r="BY39" s="23" t="str">
        <f t="shared" si="11"/>
        <v/>
      </c>
      <c r="BZ39" s="23" t="str">
        <f>BY21</f>
        <v>G03 X-0.1891 Y0.1563 Z0.0156 R0,1591</v>
      </c>
      <c r="CA39" s="23" t="str">
        <f>DQ39</f>
        <v>#2=#2+1</v>
      </c>
      <c r="CB39" s="23" t="str">
        <f>BZ30</f>
        <v>G41 D10 X0. Y-0,1563 F2,3</v>
      </c>
      <c r="CC39" s="4" t="str">
        <f>BY24</f>
        <v>G00 G40 X0. Y-0.1563</v>
      </c>
      <c r="CD39" s="23" t="str">
        <f>BZ24</f>
        <v>G00 G40 X0. Y-0.1563</v>
      </c>
      <c r="CE39" s="23" t="str">
        <f>BY30</f>
        <v>G90 G49 G00 Z8. M5</v>
      </c>
      <c r="CF39" s="23" t="str">
        <f>CE12</f>
        <v>G41 D10 X0. Y-0,1563 F2,3</v>
      </c>
      <c r="CG39" s="23" t="str">
        <f>BY33</f>
        <v>M30</v>
      </c>
      <c r="CH39" s="23" t="str">
        <f>BZ33</f>
        <v>G03 X0.1891 Y0.1563 Z0.0156 R0,1591</v>
      </c>
      <c r="CI39" s="23" t="str">
        <f>CE33</f>
        <v>G00 G40 X0. Y-0.1563</v>
      </c>
      <c r="CJ39" s="23" t="str">
        <f>CF33</f>
        <v>G00 G40 X0. Y-0.1563</v>
      </c>
      <c r="CK39" s="23" t="str">
        <f>CONCATENATE(FQ39,FR39,FS39,FT39,FU39,FV39,FW39,FX39,FY39,FZ39,GA39,GB39,GC39,GD39)</f>
        <v/>
      </c>
      <c r="CV39" s="14"/>
      <c r="DA39" s="24"/>
      <c r="DB39" s="14"/>
      <c r="DC39" s="14"/>
      <c r="DD39" s="14"/>
      <c r="DE39" s="14"/>
      <c r="DF39" s="14"/>
      <c r="DG39" s="14"/>
      <c r="DH39" s="14"/>
      <c r="DI39" s="14"/>
      <c r="DJ39" s="14"/>
      <c r="DK39" s="14"/>
      <c r="DL39" s="14"/>
      <c r="DM39" s="14"/>
      <c r="DN39" s="14"/>
      <c r="DO39" s="14"/>
      <c r="DP39" s="26">
        <v>13</v>
      </c>
      <c r="DQ39" s="53" t="s">
        <v>788</v>
      </c>
    </row>
    <row r="40" spans="1:181" ht="15.95" customHeight="1">
      <c r="G40" s="5" t="str">
        <f>IF(BW114=0,"",BW114)</f>
        <v/>
      </c>
      <c r="H40" t="s">
        <v>687</v>
      </c>
      <c r="I40" s="5" t="str">
        <f t="shared" si="15"/>
        <v>Stainless steel, Austenitic</v>
      </c>
      <c r="J40" s="5" t="s">
        <v>1322</v>
      </c>
      <c r="K40" s="5" t="s">
        <v>629</v>
      </c>
      <c r="L40" s="40" t="s">
        <v>923</v>
      </c>
      <c r="M40" s="5" t="s">
        <v>1035</v>
      </c>
      <c r="N40" s="5" t="s">
        <v>594</v>
      </c>
      <c r="O40" s="5" t="s">
        <v>1297</v>
      </c>
      <c r="P40" s="5" t="s">
        <v>365</v>
      </c>
      <c r="Q40" s="5" t="s">
        <v>1079</v>
      </c>
      <c r="R40" s="5" t="s">
        <v>120</v>
      </c>
      <c r="S40" s="5" t="s">
        <v>22</v>
      </c>
      <c r="T40" s="5" t="s">
        <v>231</v>
      </c>
      <c r="U40" s="5" t="s">
        <v>528</v>
      </c>
      <c r="V40" s="5" t="s">
        <v>281</v>
      </c>
      <c r="W40" s="5" t="s">
        <v>728</v>
      </c>
      <c r="X40" s="38" t="s">
        <v>406</v>
      </c>
      <c r="Y40" s="43" t="s">
        <v>924</v>
      </c>
      <c r="Z40" s="39" t="s">
        <v>925</v>
      </c>
      <c r="AA40" s="45" t="s">
        <v>926</v>
      </c>
      <c r="AB40" s="5" t="s">
        <v>1061</v>
      </c>
      <c r="AD40" s="131">
        <v>39</v>
      </c>
      <c r="AE40" s="266">
        <v>1</v>
      </c>
      <c r="AF40" s="266">
        <v>1</v>
      </c>
      <c r="AG40" s="266">
        <v>2</v>
      </c>
      <c r="AH40" s="263" t="s">
        <v>1538</v>
      </c>
      <c r="AI40" s="249">
        <v>0.187</v>
      </c>
      <c r="AJ40" s="249">
        <v>0.18</v>
      </c>
      <c r="AK40" s="250">
        <v>3</v>
      </c>
      <c r="AL40" s="251">
        <v>20</v>
      </c>
      <c r="AM40" s="249">
        <v>0.5</v>
      </c>
      <c r="AN40" s="252">
        <v>2.5</v>
      </c>
      <c r="AO40" s="263">
        <v>0.24</v>
      </c>
      <c r="AP40" s="55">
        <f t="shared" si="0"/>
        <v>39</v>
      </c>
      <c r="AQ40" s="16">
        <f t="shared" si="1"/>
        <v>39</v>
      </c>
      <c r="AR40" s="16" t="b">
        <f t="shared" si="2"/>
        <v>0</v>
      </c>
      <c r="AS40" s="16" t="b">
        <f t="shared" si="3"/>
        <v>0</v>
      </c>
      <c r="AT40" s="16">
        <f t="shared" si="4"/>
        <v>39</v>
      </c>
      <c r="AU40" s="16" t="b">
        <f t="shared" si="5"/>
        <v>0</v>
      </c>
      <c r="BA40" s="12"/>
      <c r="BB40" s="7"/>
      <c r="BC40" s="9"/>
      <c r="BD40" s="9"/>
      <c r="BE40" s="9"/>
      <c r="BF40" s="9"/>
      <c r="BG40" s="9"/>
      <c r="BH40" s="159" t="s">
        <v>152</v>
      </c>
      <c r="BI40" s="160">
        <v>1</v>
      </c>
      <c r="BJ40" s="161" t="s">
        <v>153</v>
      </c>
      <c r="BK40" s="9"/>
      <c r="BL40" s="9"/>
      <c r="BP40" s="16" t="b">
        <f>ISNA(BP39)</f>
        <v>0</v>
      </c>
      <c r="BS40" s="14"/>
      <c r="BT40" s="14"/>
      <c r="BV40" s="8"/>
      <c r="BY40" s="23" t="str">
        <f t="shared" si="11"/>
        <v/>
      </c>
      <c r="CV40" s="14"/>
      <c r="DA40" s="24"/>
      <c r="DB40" s="14"/>
      <c r="DC40" s="14"/>
      <c r="DD40" s="14"/>
      <c r="DE40" s="14"/>
      <c r="DF40" s="14"/>
      <c r="DG40" s="14"/>
      <c r="DH40" s="14"/>
      <c r="DI40" s="14"/>
      <c r="DJ40" s="14"/>
      <c r="DK40" s="14"/>
      <c r="DL40" s="14"/>
      <c r="DM40" s="14"/>
      <c r="DN40" s="14"/>
      <c r="DO40" s="14"/>
      <c r="DP40" s="26"/>
      <c r="DX40" s="14">
        <f>ROUND(-CP7-CS13-(BP48*CS16)-CS19,4)</f>
        <v>0.13439999999999999</v>
      </c>
      <c r="EA40"/>
      <c r="EB40"/>
      <c r="EC40" s="335">
        <f>ROUND(-CS13-(BP48*CS16)-CS19,4)</f>
        <v>-0.78120000000000001</v>
      </c>
      <c r="ED40"/>
    </row>
    <row r="41" spans="1:181" ht="15.95" customHeight="1">
      <c r="G41" s="5" t="str">
        <f>IF(BW117=0,"",BW117)</f>
        <v/>
      </c>
      <c r="H41" t="s">
        <v>621</v>
      </c>
      <c r="I41" s="5" t="str">
        <f t="shared" si="15"/>
        <v>Stainless steel, Ferritic and Austenitic</v>
      </c>
      <c r="J41" s="5" t="s">
        <v>668</v>
      </c>
      <c r="K41" s="5" t="s">
        <v>1424</v>
      </c>
      <c r="L41" s="40" t="s">
        <v>927</v>
      </c>
      <c r="M41" s="5" t="s">
        <v>1036</v>
      </c>
      <c r="N41" s="5" t="s">
        <v>740</v>
      </c>
      <c r="O41" s="5" t="s">
        <v>59</v>
      </c>
      <c r="P41" s="5" t="s">
        <v>370</v>
      </c>
      <c r="Q41" s="5" t="s">
        <v>1080</v>
      </c>
      <c r="R41" s="5" t="s">
        <v>418</v>
      </c>
      <c r="S41" s="5" t="s">
        <v>1340</v>
      </c>
      <c r="T41" s="5" t="s">
        <v>232</v>
      </c>
      <c r="U41" s="5" t="s">
        <v>529</v>
      </c>
      <c r="V41" s="5" t="s">
        <v>282</v>
      </c>
      <c r="W41" s="5" t="s">
        <v>729</v>
      </c>
      <c r="X41" s="38" t="s">
        <v>407</v>
      </c>
      <c r="Y41" s="43" t="s">
        <v>928</v>
      </c>
      <c r="Z41" s="39" t="s">
        <v>929</v>
      </c>
      <c r="AA41" s="45" t="s">
        <v>930</v>
      </c>
      <c r="AB41" s="5" t="s">
        <v>1100</v>
      </c>
      <c r="AD41" s="131">
        <v>40</v>
      </c>
      <c r="AE41" s="266">
        <v>1</v>
      </c>
      <c r="AF41" s="266">
        <v>1</v>
      </c>
      <c r="AG41" s="266">
        <v>2</v>
      </c>
      <c r="AH41" s="263" t="s">
        <v>1539</v>
      </c>
      <c r="AI41" s="249">
        <v>0.125</v>
      </c>
      <c r="AJ41" s="249">
        <v>0.12</v>
      </c>
      <c r="AK41" s="250">
        <v>3</v>
      </c>
      <c r="AL41" s="251">
        <v>32</v>
      </c>
      <c r="AM41" s="249">
        <v>0.312</v>
      </c>
      <c r="AN41" s="252">
        <v>2</v>
      </c>
      <c r="AO41" s="263">
        <v>0.18</v>
      </c>
      <c r="AP41" s="55">
        <f t="shared" si="0"/>
        <v>40</v>
      </c>
      <c r="AQ41" s="16">
        <f t="shared" si="1"/>
        <v>40</v>
      </c>
      <c r="AR41" s="16" t="b">
        <f t="shared" si="2"/>
        <v>0</v>
      </c>
      <c r="AS41" s="16" t="b">
        <f t="shared" si="3"/>
        <v>0</v>
      </c>
      <c r="AT41" s="16">
        <f t="shared" si="4"/>
        <v>40</v>
      </c>
      <c r="AU41" s="16" t="b">
        <f t="shared" si="5"/>
        <v>0</v>
      </c>
      <c r="BA41" s="12"/>
      <c r="BB41" s="7"/>
      <c r="BC41" s="9"/>
      <c r="BD41" s="9"/>
      <c r="BE41" s="9"/>
      <c r="BF41" s="9"/>
      <c r="BG41" s="9"/>
      <c r="BH41" s="160"/>
      <c r="BI41" s="160">
        <v>2</v>
      </c>
      <c r="BJ41" s="161" t="s">
        <v>931</v>
      </c>
      <c r="BK41" s="9"/>
      <c r="BL41" s="9"/>
      <c r="BP41" s="16">
        <f>IF(BP40=FALSE,BP39,"")</f>
        <v>1</v>
      </c>
      <c r="BS41" s="14"/>
      <c r="BT41" s="14"/>
      <c r="BV41" s="8"/>
      <c r="BY41" s="23" t="str">
        <f t="shared" si="11"/>
        <v/>
      </c>
      <c r="CV41" s="14"/>
      <c r="DA41" s="24"/>
      <c r="DB41" s="14"/>
      <c r="DC41" s="14"/>
      <c r="DD41" s="14"/>
      <c r="DE41" s="14"/>
      <c r="DF41" s="14"/>
      <c r="DG41" s="14"/>
      <c r="DH41" s="14"/>
      <c r="DI41" s="14"/>
      <c r="DJ41" s="14"/>
      <c r="DK41" s="14"/>
      <c r="DL41" s="14"/>
      <c r="DM41" s="14"/>
      <c r="DN41" s="14"/>
      <c r="DO41" s="14"/>
      <c r="DX41" s="16">
        <f>INT(DX40)</f>
        <v>0</v>
      </c>
      <c r="EA41"/>
      <c r="EB41"/>
      <c r="EC41" s="16">
        <f>INT(EC40)</f>
        <v>-1</v>
      </c>
      <c r="ED41"/>
    </row>
    <row r="42" spans="1:181" ht="15.95" customHeight="1">
      <c r="G42" s="5" t="str">
        <f>IF(BW120=0,"",BW120)</f>
        <v/>
      </c>
      <c r="H42" t="s">
        <v>159</v>
      </c>
      <c r="I42" s="5" t="str">
        <f t="shared" si="15"/>
        <v>Titanium, Unalloyed, &lt; 700 N/mm2</v>
      </c>
      <c r="J42" s="5" t="s">
        <v>547</v>
      </c>
      <c r="K42" s="5" t="s">
        <v>1414</v>
      </c>
      <c r="L42" s="40" t="s">
        <v>932</v>
      </c>
      <c r="M42" s="5" t="s">
        <v>1037</v>
      </c>
      <c r="N42" s="5" t="s">
        <v>741</v>
      </c>
      <c r="O42" s="5" t="s">
        <v>60</v>
      </c>
      <c r="P42" s="5" t="s">
        <v>371</v>
      </c>
      <c r="Q42" s="5" t="s">
        <v>1081</v>
      </c>
      <c r="R42" s="5" t="s">
        <v>419</v>
      </c>
      <c r="S42" s="5" t="s">
        <v>1341</v>
      </c>
      <c r="T42" s="5" t="s">
        <v>183</v>
      </c>
      <c r="U42" s="5" t="s">
        <v>530</v>
      </c>
      <c r="V42" s="5" t="s">
        <v>320</v>
      </c>
      <c r="W42" s="5" t="s">
        <v>631</v>
      </c>
      <c r="X42" s="38" t="s">
        <v>408</v>
      </c>
      <c r="Y42" s="43" t="s">
        <v>933</v>
      </c>
      <c r="Z42" s="39" t="s">
        <v>934</v>
      </c>
      <c r="AA42" s="45" t="s">
        <v>935</v>
      </c>
      <c r="AB42" s="5" t="s">
        <v>265</v>
      </c>
      <c r="AD42" s="131">
        <v>41</v>
      </c>
      <c r="AE42" s="266">
        <v>1</v>
      </c>
      <c r="AF42" s="266">
        <v>1</v>
      </c>
      <c r="AG42" s="266">
        <v>2</v>
      </c>
      <c r="AH42" s="263" t="s">
        <v>1540</v>
      </c>
      <c r="AI42" s="249">
        <v>0.125</v>
      </c>
      <c r="AJ42" s="249">
        <v>0.12</v>
      </c>
      <c r="AK42" s="250">
        <v>3</v>
      </c>
      <c r="AL42" s="251">
        <v>28</v>
      </c>
      <c r="AM42" s="249">
        <v>0.312</v>
      </c>
      <c r="AN42" s="252">
        <v>2</v>
      </c>
      <c r="AO42" s="263">
        <v>0.18</v>
      </c>
      <c r="AP42" s="55">
        <f t="shared" si="0"/>
        <v>41</v>
      </c>
      <c r="AQ42" s="16">
        <f t="shared" si="1"/>
        <v>41</v>
      </c>
      <c r="AR42" s="16" t="b">
        <f t="shared" si="2"/>
        <v>0</v>
      </c>
      <c r="AS42" s="16" t="b">
        <f t="shared" si="3"/>
        <v>0</v>
      </c>
      <c r="AT42" s="16">
        <f t="shared" si="4"/>
        <v>41</v>
      </c>
      <c r="AU42" s="16" t="b">
        <f t="shared" si="5"/>
        <v>0</v>
      </c>
      <c r="BA42" s="12"/>
      <c r="BB42" s="7"/>
      <c r="BC42" s="212"/>
      <c r="BD42" s="212"/>
      <c r="BE42" s="9"/>
      <c r="BF42" s="9"/>
      <c r="BG42" s="9"/>
      <c r="BH42" s="162"/>
      <c r="BI42" s="160">
        <v>3</v>
      </c>
      <c r="BJ42" s="161" t="s">
        <v>936</v>
      </c>
      <c r="BK42" s="9"/>
      <c r="BL42" s="9"/>
      <c r="BO42" s="221" t="s">
        <v>937</v>
      </c>
      <c r="BP42" s="231">
        <f>LOOKUP(BE12,AD2:AD235,AF2:AF235)</f>
        <v>1</v>
      </c>
      <c r="BS42" s="14"/>
      <c r="BT42" s="14"/>
      <c r="BV42" s="8">
        <v>14</v>
      </c>
      <c r="BW42" s="54" t="str">
        <f>LOOKUP(BT$54,BX$2:CK$2,BX42:CK42)</f>
        <v/>
      </c>
      <c r="BY42" s="23" t="str">
        <f t="shared" si="11"/>
        <v/>
      </c>
      <c r="BZ42" s="23" t="str">
        <f>BY24</f>
        <v>G00 G40 X0. Y-0.1563</v>
      </c>
      <c r="CA42" s="23" t="str">
        <f>DQ42</f>
        <v>END1</v>
      </c>
      <c r="CB42" s="23" t="str">
        <f>BZ33</f>
        <v>G03 X0.1891 Y0.1563 Z0.0156 R0,1591</v>
      </c>
      <c r="CC42" s="4" t="str">
        <f>CONCATENATE(DV42,DW42,DX42,DY42)</f>
        <v>G00 Z0.1344</v>
      </c>
      <c r="CD42" s="23" t="str">
        <f>CONCATENATE(EA42,EB42,EC42,ED42)</f>
        <v>G00 Z-0.7812</v>
      </c>
      <c r="CE42" s="23" t="str">
        <f>BY33</f>
        <v>M30</v>
      </c>
      <c r="CF42" s="23" t="str">
        <f>CE15</f>
        <v>G03 X0.1891 Y0.1563 Z0.0156 R0,1591</v>
      </c>
      <c r="CH42" s="23" t="str">
        <f>BZ36</f>
        <v>G03 X0. Y0. Z0.0625 I-0.1891 J0. F4,6</v>
      </c>
      <c r="CI42" s="23" t="str">
        <f>CE36</f>
        <v>G00 Z0.8219</v>
      </c>
      <c r="CJ42" s="23" t="str">
        <f>CF36</f>
        <v>G00 Z-0.0937</v>
      </c>
      <c r="CV42" s="14"/>
      <c r="DA42" s="24"/>
      <c r="DB42" s="14"/>
      <c r="DC42" s="14"/>
      <c r="DD42" s="14"/>
      <c r="DE42" s="14"/>
      <c r="DF42" s="14"/>
      <c r="DG42" s="14"/>
      <c r="DH42" s="14"/>
      <c r="DI42" s="14"/>
      <c r="DJ42" s="14"/>
      <c r="DK42" s="14"/>
      <c r="DL42" s="14"/>
      <c r="DM42" s="14"/>
      <c r="DN42" s="14"/>
      <c r="DO42" s="14"/>
      <c r="DP42" s="26">
        <v>14</v>
      </c>
      <c r="DQ42" s="53" t="s">
        <v>630</v>
      </c>
      <c r="DU42" s="26">
        <v>14</v>
      </c>
      <c r="DV42" s="14" t="s">
        <v>672</v>
      </c>
      <c r="DW42" s="14" t="s">
        <v>673</v>
      </c>
      <c r="DX42" s="10" t="str">
        <f>SUBSTITUTE(DX40,",",".")</f>
        <v>0.1344</v>
      </c>
      <c r="DY42" s="14" t="str">
        <f>IF(DX40=DX41,".","")</f>
        <v/>
      </c>
      <c r="DZ42" s="26">
        <v>14</v>
      </c>
      <c r="EA42" s="14" t="s">
        <v>672</v>
      </c>
      <c r="EB42" s="14" t="s">
        <v>673</v>
      </c>
      <c r="EC42" s="10" t="str">
        <f>SUBSTITUTE(EC40,",",".")</f>
        <v>-0.7812</v>
      </c>
      <c r="ED42" s="14" t="str">
        <f>IF(EC40=EC41,".","")</f>
        <v/>
      </c>
    </row>
    <row r="43" spans="1:181" ht="15.95" customHeight="1">
      <c r="G43" s="5" t="str">
        <f>IF(BW123=0,"",BW123)</f>
        <v/>
      </c>
      <c r="H43" s="43" t="s">
        <v>1450</v>
      </c>
      <c r="I43" s="5" t="str">
        <f t="shared" si="15"/>
        <v>Titanium, Alloyed, &lt; 900 N/mm2</v>
      </c>
      <c r="J43" s="5" t="s">
        <v>541</v>
      </c>
      <c r="K43" s="5" t="s">
        <v>1415</v>
      </c>
      <c r="L43" s="40" t="s">
        <v>938</v>
      </c>
      <c r="M43" s="5" t="s">
        <v>129</v>
      </c>
      <c r="N43" s="5" t="s">
        <v>549</v>
      </c>
      <c r="O43" s="5" t="s">
        <v>61</v>
      </c>
      <c r="P43" s="5" t="s">
        <v>194</v>
      </c>
      <c r="Q43" s="5" t="s">
        <v>1082</v>
      </c>
      <c r="R43" s="5" t="s">
        <v>420</v>
      </c>
      <c r="S43" s="5" t="s">
        <v>1342</v>
      </c>
      <c r="T43" s="5" t="s">
        <v>184</v>
      </c>
      <c r="U43" s="5" t="s">
        <v>536</v>
      </c>
      <c r="V43" s="5" t="s">
        <v>321</v>
      </c>
      <c r="W43" s="5" t="s">
        <v>632</v>
      </c>
      <c r="X43" s="38" t="s">
        <v>409</v>
      </c>
      <c r="Y43" s="43" t="s">
        <v>939</v>
      </c>
      <c r="Z43" s="39" t="s">
        <v>940</v>
      </c>
      <c r="AA43" s="45" t="s">
        <v>941</v>
      </c>
      <c r="AB43" s="5" t="s">
        <v>1068</v>
      </c>
      <c r="AD43" s="131">
        <v>42</v>
      </c>
      <c r="AE43" s="266">
        <v>1</v>
      </c>
      <c r="AF43" s="266">
        <v>1</v>
      </c>
      <c r="AG43" s="266">
        <v>2</v>
      </c>
      <c r="AH43" s="263" t="s">
        <v>1541</v>
      </c>
      <c r="AI43" s="249">
        <v>0.125</v>
      </c>
      <c r="AJ43" s="249">
        <v>0.12</v>
      </c>
      <c r="AK43" s="250">
        <v>3</v>
      </c>
      <c r="AL43" s="251">
        <v>24</v>
      </c>
      <c r="AM43" s="249">
        <v>0.312</v>
      </c>
      <c r="AN43" s="252">
        <v>2</v>
      </c>
      <c r="AO43" s="263">
        <v>0.18</v>
      </c>
      <c r="AP43" s="55">
        <f t="shared" si="0"/>
        <v>42</v>
      </c>
      <c r="AQ43" s="16">
        <f t="shared" si="1"/>
        <v>42</v>
      </c>
      <c r="AR43" s="16" t="b">
        <f t="shared" si="2"/>
        <v>0</v>
      </c>
      <c r="AS43" s="16" t="b">
        <f t="shared" si="3"/>
        <v>0</v>
      </c>
      <c r="AT43" s="16">
        <f t="shared" si="4"/>
        <v>42</v>
      </c>
      <c r="AU43" s="16" t="b">
        <f t="shared" si="5"/>
        <v>0</v>
      </c>
      <c r="BA43" s="282"/>
      <c r="BB43" s="283"/>
      <c r="BC43" s="284"/>
      <c r="BD43" s="284"/>
      <c r="BE43" s="285" t="s">
        <v>898</v>
      </c>
      <c r="BF43" s="285">
        <f>C9-BL6</f>
        <v>0.3125</v>
      </c>
      <c r="BG43" s="9"/>
      <c r="BH43" s="163"/>
      <c r="BI43" s="160">
        <v>4</v>
      </c>
      <c r="BJ43" s="161" t="s">
        <v>942</v>
      </c>
      <c r="BK43" s="9"/>
      <c r="BL43" s="9"/>
      <c r="BS43" s="14"/>
      <c r="BT43" s="14"/>
      <c r="BV43" s="8"/>
      <c r="BY43" s="23" t="str">
        <f t="shared" si="11"/>
        <v/>
      </c>
      <c r="CV43" s="14"/>
      <c r="DA43" s="24"/>
      <c r="DB43" s="14"/>
      <c r="DC43" s="14"/>
      <c r="DD43" s="14"/>
      <c r="DE43" s="14"/>
      <c r="DF43" s="14"/>
      <c r="DG43" s="14"/>
      <c r="DH43" s="14"/>
      <c r="DI43" s="14"/>
      <c r="DJ43" s="14"/>
      <c r="DK43" s="14"/>
      <c r="DL43" s="14"/>
      <c r="DM43" s="14"/>
      <c r="DN43" s="14"/>
      <c r="DO43" s="14"/>
      <c r="DP43" s="26"/>
      <c r="DS43" s="339">
        <f>ROUND((C11+C12)-(BP9*BP7)+0.375,4)</f>
        <v>0.52500000000000002</v>
      </c>
    </row>
    <row r="44" spans="1:181" ht="15.95" customHeight="1">
      <c r="G44" s="5" t="str">
        <f>IF(BW126=0,"",BW126)</f>
        <v/>
      </c>
      <c r="H44" t="s">
        <v>662</v>
      </c>
      <c r="I44" s="5" t="str">
        <f t="shared" si="15"/>
        <v>Titanium, Alloyed, &lt; 1250 N/mm2</v>
      </c>
      <c r="J44" s="5" t="s">
        <v>725</v>
      </c>
      <c r="K44" s="5" t="s">
        <v>233</v>
      </c>
      <c r="L44" s="40" t="s">
        <v>943</v>
      </c>
      <c r="M44" s="5" t="s">
        <v>130</v>
      </c>
      <c r="N44" s="5" t="s">
        <v>550</v>
      </c>
      <c r="O44" s="5" t="s">
        <v>62</v>
      </c>
      <c r="P44" s="5" t="s">
        <v>195</v>
      </c>
      <c r="Q44" s="5" t="s">
        <v>217</v>
      </c>
      <c r="R44" s="5" t="s">
        <v>421</v>
      </c>
      <c r="S44" s="5" t="s">
        <v>1343</v>
      </c>
      <c r="T44" s="5" t="s">
        <v>185</v>
      </c>
      <c r="U44" s="5" t="s">
        <v>537</v>
      </c>
      <c r="V44" s="5" t="s">
        <v>301</v>
      </c>
      <c r="W44" s="5" t="s">
        <v>612</v>
      </c>
      <c r="X44" s="38" t="s">
        <v>410</v>
      </c>
      <c r="Y44" s="43" t="s">
        <v>944</v>
      </c>
      <c r="Z44" s="39" t="s">
        <v>945</v>
      </c>
      <c r="AA44" s="45" t="s">
        <v>946</v>
      </c>
      <c r="AB44" s="5" t="s">
        <v>1111</v>
      </c>
      <c r="AD44" s="131">
        <v>43</v>
      </c>
      <c r="AE44" s="266">
        <v>1</v>
      </c>
      <c r="AF44" s="266">
        <v>1</v>
      </c>
      <c r="AG44" s="266">
        <v>2</v>
      </c>
      <c r="AH44" s="263" t="s">
        <v>1542</v>
      </c>
      <c r="AI44" s="249">
        <v>0.125</v>
      </c>
      <c r="AJ44" s="249">
        <v>0.115</v>
      </c>
      <c r="AK44" s="250">
        <v>3</v>
      </c>
      <c r="AL44" s="251">
        <v>36</v>
      </c>
      <c r="AM44" s="249">
        <v>0.25</v>
      </c>
      <c r="AN44" s="252">
        <v>2</v>
      </c>
      <c r="AO44" s="263">
        <v>0.154</v>
      </c>
      <c r="AP44" s="55">
        <f t="shared" si="0"/>
        <v>43</v>
      </c>
      <c r="AQ44" s="16">
        <f t="shared" si="1"/>
        <v>43</v>
      </c>
      <c r="AR44" s="16" t="b">
        <f t="shared" si="2"/>
        <v>0</v>
      </c>
      <c r="AS44" s="16" t="b">
        <f t="shared" si="3"/>
        <v>0</v>
      </c>
      <c r="AT44" s="16">
        <f t="shared" si="4"/>
        <v>43</v>
      </c>
      <c r="AU44" s="16" t="b">
        <f t="shared" si="5"/>
        <v>0</v>
      </c>
      <c r="BA44" s="441" t="s">
        <v>431</v>
      </c>
      <c r="BB44" s="441"/>
      <c r="BC44" s="441"/>
      <c r="BD44" s="441"/>
      <c r="BE44" s="441"/>
      <c r="BF44" s="441"/>
      <c r="BG44" s="9"/>
      <c r="BH44" s="9"/>
      <c r="BI44" s="160">
        <v>5</v>
      </c>
      <c r="BJ44" s="161" t="s">
        <v>947</v>
      </c>
      <c r="BK44" s="9"/>
      <c r="BL44" s="9"/>
      <c r="BS44" s="14"/>
      <c r="BT44" s="14"/>
      <c r="BV44" s="8"/>
      <c r="BY44" s="23" t="str">
        <f t="shared" si="11"/>
        <v/>
      </c>
      <c r="CV44" s="14"/>
      <c r="DA44" s="24"/>
      <c r="DB44" s="14"/>
      <c r="DC44" s="14"/>
      <c r="DD44" s="14"/>
      <c r="DE44" s="14"/>
      <c r="DF44" s="14"/>
      <c r="DG44" s="14"/>
      <c r="DH44" s="14"/>
      <c r="DI44" s="14"/>
      <c r="DJ44" s="14"/>
      <c r="DK44" s="14"/>
      <c r="DL44" s="14"/>
      <c r="DM44" s="14"/>
      <c r="DN44" s="14"/>
      <c r="DO44" s="14"/>
      <c r="DS44" s="53">
        <f>INT(DS43)</f>
        <v>0</v>
      </c>
    </row>
    <row r="45" spans="1:181" ht="15.95" customHeight="1">
      <c r="G45" s="5" t="str">
        <f>IF(BW129=0,"",BW129)</f>
        <v/>
      </c>
      <c r="H45" s="49" t="s">
        <v>1331</v>
      </c>
      <c r="I45" s="5" t="str">
        <f t="shared" si="15"/>
        <v>Nickel, Unalloyed, &lt; 500 N/mm2</v>
      </c>
      <c r="J45" s="5" t="s">
        <v>1419</v>
      </c>
      <c r="K45" s="5" t="s">
        <v>761</v>
      </c>
      <c r="L45" s="40" t="s">
        <v>948</v>
      </c>
      <c r="M45" s="5" t="s">
        <v>131</v>
      </c>
      <c r="N45" s="5" t="s">
        <v>743</v>
      </c>
      <c r="O45" s="5" t="s">
        <v>63</v>
      </c>
      <c r="P45" s="5" t="s">
        <v>361</v>
      </c>
      <c r="Q45" s="5" t="s">
        <v>218</v>
      </c>
      <c r="R45" s="5" t="s">
        <v>94</v>
      </c>
      <c r="S45" s="5" t="s">
        <v>1344</v>
      </c>
      <c r="T45" s="5" t="s">
        <v>186</v>
      </c>
      <c r="U45" s="5" t="s">
        <v>538</v>
      </c>
      <c r="V45" s="5" t="s">
        <v>302</v>
      </c>
      <c r="W45" s="5" t="s">
        <v>720</v>
      </c>
      <c r="X45" s="38" t="s">
        <v>411</v>
      </c>
      <c r="Y45" s="43" t="s">
        <v>949</v>
      </c>
      <c r="Z45" s="39" t="s">
        <v>950</v>
      </c>
      <c r="AA45" s="45" t="s">
        <v>951</v>
      </c>
      <c r="AB45" s="5" t="s">
        <v>1101</v>
      </c>
      <c r="AD45" s="131">
        <v>44</v>
      </c>
      <c r="AE45" s="266">
        <v>1</v>
      </c>
      <c r="AF45" s="266">
        <v>1</v>
      </c>
      <c r="AG45" s="266">
        <v>2</v>
      </c>
      <c r="AH45" s="263" t="s">
        <v>1543</v>
      </c>
      <c r="AI45" s="249">
        <v>0.125</v>
      </c>
      <c r="AJ45" s="249">
        <v>0.115</v>
      </c>
      <c r="AK45" s="250">
        <v>3</v>
      </c>
      <c r="AL45" s="251">
        <v>32</v>
      </c>
      <c r="AM45" s="249">
        <v>0.25</v>
      </c>
      <c r="AN45" s="252">
        <v>2</v>
      </c>
      <c r="AO45" s="263">
        <v>0.154</v>
      </c>
      <c r="AP45" s="55">
        <f t="shared" si="0"/>
        <v>44</v>
      </c>
      <c r="AQ45" s="16">
        <f t="shared" si="1"/>
        <v>44</v>
      </c>
      <c r="AR45" s="16" t="b">
        <f t="shared" si="2"/>
        <v>0</v>
      </c>
      <c r="AS45" s="16" t="b">
        <f t="shared" si="3"/>
        <v>0</v>
      </c>
      <c r="AT45" s="16">
        <f t="shared" si="4"/>
        <v>44</v>
      </c>
      <c r="AU45" s="16" t="b">
        <f t="shared" si="5"/>
        <v>0</v>
      </c>
      <c r="BA45" s="286"/>
      <c r="BB45" s="287" t="s">
        <v>554</v>
      </c>
      <c r="BC45" s="288" t="s">
        <v>428</v>
      </c>
      <c r="BD45" s="289" t="s">
        <v>429</v>
      </c>
      <c r="BE45" s="287" t="s">
        <v>554</v>
      </c>
      <c r="BF45" s="289" t="s">
        <v>430</v>
      </c>
      <c r="BG45" s="9"/>
      <c r="BH45" s="9"/>
      <c r="BI45" s="9"/>
      <c r="BJ45" s="9"/>
      <c r="BK45" s="9"/>
      <c r="BL45" s="9"/>
      <c r="BS45" s="14"/>
      <c r="BT45" s="14"/>
      <c r="BV45" s="8">
        <v>15</v>
      </c>
      <c r="BW45" s="54" t="str">
        <f>LOOKUP(BT$54,BX$2:CK$2,BX45:CK45)</f>
        <v/>
      </c>
      <c r="BY45" s="23" t="str">
        <f t="shared" si="11"/>
        <v/>
      </c>
      <c r="BZ45" s="23" t="str">
        <f>BY27</f>
        <v>G00 Z0.8219</v>
      </c>
      <c r="CA45" s="23" t="str">
        <f>CONCATENATE(DQ45,DR45,DS45,DT45)</f>
        <v>G00 Z0.525</v>
      </c>
      <c r="CB45" s="23" t="str">
        <f>BZ36</f>
        <v>G03 X0. Y0. Z0.0625 I-0.1891 J0. F4,6</v>
      </c>
      <c r="CC45" s="4" t="str">
        <f>BY30</f>
        <v>G90 G49 G00 Z8. M5</v>
      </c>
      <c r="CD45" s="23" t="str">
        <f>BZ30</f>
        <v>G41 D10 X0. Y-0,1563 F2,3</v>
      </c>
      <c r="CF45" s="23" t="str">
        <f>CE18</f>
        <v>G03 X-0.1891 Y0.1895 Z0.0156 I-0.1891 J0.0005 F4,6</v>
      </c>
      <c r="CH45" s="23" t="str">
        <f>BZ39</f>
        <v>G03 X-0.1891 Y0.1563 Z0.0156 R0,1591</v>
      </c>
      <c r="CI45" s="23" t="str">
        <f>CE39</f>
        <v>G90 G49 G00 Z8. M5</v>
      </c>
      <c r="CJ45" s="23" t="str">
        <f>CF39</f>
        <v>G41 D10 X0. Y-0,1563 F2,3</v>
      </c>
      <c r="CV45" s="14"/>
      <c r="DA45" s="24"/>
      <c r="DB45" s="14"/>
      <c r="DC45" s="14"/>
      <c r="DD45" s="14"/>
      <c r="DE45" s="14"/>
      <c r="DF45" s="14"/>
      <c r="DG45" s="14"/>
      <c r="DH45" s="14"/>
      <c r="DI45" s="14"/>
      <c r="DJ45" s="14"/>
      <c r="DK45" s="14"/>
      <c r="DL45" s="14"/>
      <c r="DM45" s="14"/>
      <c r="DN45" s="14"/>
      <c r="DO45" s="14"/>
      <c r="DP45" s="26">
        <v>15</v>
      </c>
      <c r="DQ45" s="53" t="s">
        <v>672</v>
      </c>
      <c r="DR45" s="53" t="s">
        <v>673</v>
      </c>
      <c r="DS45" s="53" t="str">
        <f>SUBSTITUTE(DS43,",",".")</f>
        <v>0.525</v>
      </c>
      <c r="DT45" s="53" t="str">
        <f>IF(DS43=DS44,".","")</f>
        <v/>
      </c>
    </row>
    <row r="46" spans="1:181" ht="15.95" customHeight="1">
      <c r="B46" s="207"/>
      <c r="G46" s="5" t="str">
        <f>IF(BW132=0,"",BW132)</f>
        <v/>
      </c>
      <c r="H46" t="s">
        <v>685</v>
      </c>
      <c r="I46" s="5" t="str">
        <f t="shared" si="15"/>
        <v>Nickel, Alloyed, &lt; 900 N/mm2</v>
      </c>
      <c r="J46" s="5" t="s">
        <v>141</v>
      </c>
      <c r="K46" s="5" t="s">
        <v>614</v>
      </c>
      <c r="L46" s="40" t="s">
        <v>952</v>
      </c>
      <c r="M46" s="5" t="s">
        <v>132</v>
      </c>
      <c r="N46" s="5" t="s">
        <v>744</v>
      </c>
      <c r="O46" s="5" t="s">
        <v>64</v>
      </c>
      <c r="P46" s="5" t="s">
        <v>362</v>
      </c>
      <c r="Q46" s="5" t="s">
        <v>219</v>
      </c>
      <c r="R46" s="5" t="s">
        <v>95</v>
      </c>
      <c r="S46" s="5" t="s">
        <v>1345</v>
      </c>
      <c r="T46" s="5" t="s">
        <v>187</v>
      </c>
      <c r="U46" s="5" t="s">
        <v>539</v>
      </c>
      <c r="V46" s="5" t="s">
        <v>303</v>
      </c>
      <c r="W46" s="5" t="s">
        <v>773</v>
      </c>
      <c r="X46" s="38" t="s">
        <v>412</v>
      </c>
      <c r="Y46" s="43" t="s">
        <v>953</v>
      </c>
      <c r="Z46" s="39" t="s">
        <v>954</v>
      </c>
      <c r="AA46" s="45" t="s">
        <v>955</v>
      </c>
      <c r="AB46" s="5" t="s">
        <v>1102</v>
      </c>
      <c r="AD46" s="131">
        <v>45</v>
      </c>
      <c r="AE46" s="266">
        <v>1</v>
      </c>
      <c r="AF46" s="266">
        <v>1</v>
      </c>
      <c r="AG46" s="266">
        <v>2</v>
      </c>
      <c r="AH46" s="263" t="s">
        <v>1544</v>
      </c>
      <c r="AI46" s="249">
        <v>0.125</v>
      </c>
      <c r="AJ46" s="249">
        <v>0.1</v>
      </c>
      <c r="AK46" s="250">
        <v>3</v>
      </c>
      <c r="AL46" s="251">
        <v>32</v>
      </c>
      <c r="AM46" s="249">
        <v>0.218</v>
      </c>
      <c r="AN46" s="252">
        <v>2</v>
      </c>
      <c r="AO46" s="263">
        <v>0.128</v>
      </c>
      <c r="AP46" s="55">
        <f t="shared" si="0"/>
        <v>45</v>
      </c>
      <c r="AQ46" s="16">
        <f t="shared" si="1"/>
        <v>45</v>
      </c>
      <c r="AR46" s="16" t="b">
        <f t="shared" si="2"/>
        <v>0</v>
      </c>
      <c r="AS46" s="16" t="b">
        <f t="shared" si="3"/>
        <v>0</v>
      </c>
      <c r="AT46" s="16">
        <f t="shared" si="4"/>
        <v>45</v>
      </c>
      <c r="AU46" s="16" t="b">
        <f t="shared" si="5"/>
        <v>0</v>
      </c>
      <c r="BA46" s="290">
        <v>1</v>
      </c>
      <c r="BB46" s="291">
        <v>100</v>
      </c>
      <c r="BC46" s="292">
        <v>0.14000000000000001</v>
      </c>
      <c r="BD46" s="293">
        <v>0.19</v>
      </c>
      <c r="BE46" s="294">
        <f>LOOKUP(BA2,BA46:BA75,BB46:BB75)</f>
        <v>90</v>
      </c>
      <c r="BF46" s="295">
        <f>IF(BF43&gt;8,LOOKUP(BA2,BA46:BA75,BD46:BD75),LOOKUP(BA2,BA46:BA75,BC46:BC75))</f>
        <v>0.13</v>
      </c>
      <c r="BG46" s="9"/>
      <c r="BH46" s="9"/>
      <c r="BI46" s="9"/>
      <c r="BJ46" s="9"/>
      <c r="BK46" s="9"/>
      <c r="BL46" s="9"/>
      <c r="BS46" s="14"/>
      <c r="BT46" s="14"/>
      <c r="BV46" s="8"/>
      <c r="BY46" s="23" t="str">
        <f t="shared" si="11"/>
        <v/>
      </c>
      <c r="CV46" s="14"/>
      <c r="DA46" s="24"/>
      <c r="DB46" s="14"/>
      <c r="DC46" s="14"/>
      <c r="DD46" s="14"/>
      <c r="DE46" s="14"/>
      <c r="DF46" s="14"/>
      <c r="DG46" s="14"/>
      <c r="DH46" s="14"/>
      <c r="DI46" s="14"/>
      <c r="DJ46" s="14"/>
      <c r="DK46" s="14"/>
      <c r="DL46" s="14"/>
      <c r="DM46" s="14"/>
      <c r="DN46" s="14"/>
      <c r="DO46" s="14"/>
      <c r="DP46" s="26"/>
    </row>
    <row r="47" spans="1:181" ht="15.95" customHeight="1">
      <c r="G47" s="5" t="str">
        <f>IF(BW135=0,"",BW135)</f>
        <v/>
      </c>
      <c r="H47" t="s">
        <v>300</v>
      </c>
      <c r="I47" s="5" t="str">
        <f t="shared" si="15"/>
        <v>Nickel, Alloyed, &lt; 1250 N/mm2</v>
      </c>
      <c r="J47" s="5" t="s">
        <v>723</v>
      </c>
      <c r="K47" s="5" t="s">
        <v>678</v>
      </c>
      <c r="L47" s="40" t="s">
        <v>956</v>
      </c>
      <c r="M47" s="5" t="s">
        <v>1139</v>
      </c>
      <c r="N47" s="5" t="s">
        <v>551</v>
      </c>
      <c r="O47" s="5" t="s">
        <v>640</v>
      </c>
      <c r="P47" s="5" t="s">
        <v>363</v>
      </c>
      <c r="Q47" s="5" t="s">
        <v>220</v>
      </c>
      <c r="R47" s="5" t="s">
        <v>96</v>
      </c>
      <c r="S47" s="5" t="s">
        <v>1346</v>
      </c>
      <c r="T47" s="5" t="s">
        <v>188</v>
      </c>
      <c r="U47" s="5" t="s">
        <v>1320</v>
      </c>
      <c r="V47" s="5" t="s">
        <v>304</v>
      </c>
      <c r="W47" s="5" t="s">
        <v>1433</v>
      </c>
      <c r="X47" s="38" t="s">
        <v>413</v>
      </c>
      <c r="Y47" s="43" t="s">
        <v>957</v>
      </c>
      <c r="Z47" s="39" t="s">
        <v>958</v>
      </c>
      <c r="AA47" s="45" t="s">
        <v>959</v>
      </c>
      <c r="AB47" s="5" t="s">
        <v>1041</v>
      </c>
      <c r="AD47" s="131">
        <v>46</v>
      </c>
      <c r="AE47" s="266">
        <v>1</v>
      </c>
      <c r="AF47" s="266">
        <v>1</v>
      </c>
      <c r="AG47" s="266">
        <v>2</v>
      </c>
      <c r="AH47" s="263" t="s">
        <v>1545</v>
      </c>
      <c r="AI47" s="249">
        <v>0.125</v>
      </c>
      <c r="AJ47" s="249">
        <v>9.5000000000000001E-2</v>
      </c>
      <c r="AK47" s="250">
        <v>3</v>
      </c>
      <c r="AL47" s="251">
        <v>44</v>
      </c>
      <c r="AM47" s="249">
        <v>0.22800000000000001</v>
      </c>
      <c r="AN47" s="252">
        <v>2</v>
      </c>
      <c r="AO47" s="263">
        <v>0.115</v>
      </c>
      <c r="AP47" s="55">
        <f t="shared" si="0"/>
        <v>46</v>
      </c>
      <c r="AQ47" s="16">
        <f t="shared" si="1"/>
        <v>46</v>
      </c>
      <c r="AR47" s="16" t="b">
        <f t="shared" si="2"/>
        <v>0</v>
      </c>
      <c r="AS47" s="16" t="b">
        <f t="shared" si="3"/>
        <v>0</v>
      </c>
      <c r="AT47" s="16">
        <f t="shared" si="4"/>
        <v>46</v>
      </c>
      <c r="AU47" s="16" t="b">
        <f t="shared" si="5"/>
        <v>0</v>
      </c>
      <c r="BA47" s="290">
        <v>2</v>
      </c>
      <c r="BB47" s="291">
        <v>90</v>
      </c>
      <c r="BC47" s="292">
        <v>0.13</v>
      </c>
      <c r="BD47" s="293">
        <v>0.18</v>
      </c>
      <c r="BE47" s="284"/>
      <c r="BF47" s="296">
        <f>IF(D27&gt;0,D27,BF46)</f>
        <v>0.13</v>
      </c>
      <c r="BG47" s="9"/>
      <c r="BH47" s="9"/>
      <c r="BI47" s="9"/>
      <c r="BJ47" s="9"/>
      <c r="BK47" s="9"/>
      <c r="BL47" s="9"/>
      <c r="BO47" s="7" t="s">
        <v>960</v>
      </c>
      <c r="BP47" s="16">
        <f>C11/BL6-0.001</f>
        <v>11.999000000000001</v>
      </c>
      <c r="BS47" s="14"/>
      <c r="BT47" s="14"/>
      <c r="BV47" s="8"/>
      <c r="BY47" s="23" t="str">
        <f t="shared" si="11"/>
        <v/>
      </c>
      <c r="CV47" s="14"/>
      <c r="DB47" s="14"/>
      <c r="DC47" s="14"/>
      <c r="DD47" s="14"/>
      <c r="DE47" s="14"/>
      <c r="DF47" s="14"/>
      <c r="DG47" s="14"/>
      <c r="DH47" s="14"/>
      <c r="DI47" s="14"/>
      <c r="DJ47" s="14"/>
      <c r="DK47" s="14"/>
      <c r="DL47" s="14"/>
      <c r="DM47" s="14"/>
      <c r="DN47" s="14"/>
      <c r="DO47" s="14"/>
    </row>
    <row r="48" spans="1:181" ht="15.95" customHeight="1">
      <c r="G48" s="5" t="str">
        <f>IF(BW138=0,"",BW138)</f>
        <v/>
      </c>
      <c r="I48" s="5" t="str">
        <f t="shared" si="15"/>
        <v>Copper, Unalloyed, &lt; 350 N/mm2</v>
      </c>
      <c r="J48" s="5" t="s">
        <v>724</v>
      </c>
      <c r="K48" s="5" t="s">
        <v>753</v>
      </c>
      <c r="L48" s="40" t="s">
        <v>961</v>
      </c>
      <c r="M48" s="5" t="s">
        <v>1140</v>
      </c>
      <c r="N48" s="5" t="s">
        <v>1371</v>
      </c>
      <c r="O48" s="5" t="s">
        <v>574</v>
      </c>
      <c r="P48" s="5" t="s">
        <v>366</v>
      </c>
      <c r="Q48" s="5" t="s">
        <v>221</v>
      </c>
      <c r="R48" s="5" t="s">
        <v>97</v>
      </c>
      <c r="S48" s="5" t="s">
        <v>1347</v>
      </c>
      <c r="T48" s="5" t="s">
        <v>189</v>
      </c>
      <c r="U48" s="5" t="s">
        <v>1321</v>
      </c>
      <c r="V48" s="5" t="s">
        <v>305</v>
      </c>
      <c r="W48" s="5" t="s">
        <v>779</v>
      </c>
      <c r="X48" s="38" t="s">
        <v>414</v>
      </c>
      <c r="Y48" s="43" t="s">
        <v>962</v>
      </c>
      <c r="Z48" s="39" t="s">
        <v>963</v>
      </c>
      <c r="AA48" s="45" t="s">
        <v>964</v>
      </c>
      <c r="AB48" s="5" t="s">
        <v>1042</v>
      </c>
      <c r="AD48" s="131">
        <v>47</v>
      </c>
      <c r="AE48" s="266">
        <v>1</v>
      </c>
      <c r="AF48" s="266">
        <v>1</v>
      </c>
      <c r="AG48" s="266">
        <v>2</v>
      </c>
      <c r="AH48" s="263" t="s">
        <v>1546</v>
      </c>
      <c r="AI48" s="249">
        <v>0.125</v>
      </c>
      <c r="AJ48" s="249">
        <v>8.5000000000000006E-2</v>
      </c>
      <c r="AK48" s="250">
        <v>3</v>
      </c>
      <c r="AL48" s="251">
        <v>40</v>
      </c>
      <c r="AM48" s="249">
        <v>0.17499999999999999</v>
      </c>
      <c r="AN48" s="252">
        <v>2</v>
      </c>
      <c r="AO48" s="263">
        <v>0.10200000000000001</v>
      </c>
      <c r="AP48" s="55">
        <f t="shared" si="0"/>
        <v>47</v>
      </c>
      <c r="AQ48" s="16">
        <f t="shared" si="1"/>
        <v>47</v>
      </c>
      <c r="AR48" s="16" t="b">
        <f t="shared" si="2"/>
        <v>0</v>
      </c>
      <c r="AS48" s="16" t="b">
        <f t="shared" si="3"/>
        <v>0</v>
      </c>
      <c r="AT48" s="16">
        <f t="shared" si="4"/>
        <v>47</v>
      </c>
      <c r="AU48" s="16" t="b">
        <f t="shared" si="5"/>
        <v>0</v>
      </c>
      <c r="BA48" s="290">
        <v>3</v>
      </c>
      <c r="BB48" s="291">
        <v>80</v>
      </c>
      <c r="BC48" s="292">
        <v>0.12</v>
      </c>
      <c r="BD48" s="293">
        <v>0.17</v>
      </c>
      <c r="BE48" s="284"/>
      <c r="BF48" s="284"/>
      <c r="BG48" s="9"/>
      <c r="BH48" s="9"/>
      <c r="BI48" s="9"/>
      <c r="BJ48" s="9"/>
      <c r="BK48" s="9"/>
      <c r="BL48" s="9"/>
      <c r="BO48" s="7" t="s">
        <v>670</v>
      </c>
      <c r="BP48" s="17">
        <f>INT(BP47)+1</f>
        <v>12</v>
      </c>
      <c r="BQ48" t="s">
        <v>965</v>
      </c>
      <c r="BS48" s="14"/>
      <c r="BT48" s="14"/>
      <c r="BV48" s="8">
        <v>16</v>
      </c>
      <c r="BW48" s="54" t="str">
        <f>LOOKUP(BT$54,BX$2:CK$2,BX48:CK48)</f>
        <v/>
      </c>
      <c r="BY48" s="23" t="str">
        <f t="shared" si="11"/>
        <v/>
      </c>
      <c r="BZ48" s="23" t="str">
        <f>BY30</f>
        <v>G90 G49 G00 Z8. M5</v>
      </c>
      <c r="CA48" s="23" t="str">
        <f>BY30</f>
        <v>G90 G49 G00 Z8. M5</v>
      </c>
      <c r="CB48" s="23" t="str">
        <f>BZ39</f>
        <v>G03 X-0.1891 Y0.1563 Z0.0156 R0,1591</v>
      </c>
      <c r="CC48" s="4" t="str">
        <f>BY33</f>
        <v>M30</v>
      </c>
      <c r="CD48" s="23" t="str">
        <f>BZ33</f>
        <v>G03 X0.1891 Y0.1563 Z0.0156 R0,1591</v>
      </c>
      <c r="CF48" s="23" t="str">
        <f>CE21</f>
        <v>G03 X-0.19 Y-0.1895 Z0.0156 I-0.0005 J-0.1895</v>
      </c>
      <c r="CH48" s="23" t="str">
        <f>BZ42</f>
        <v>G00 G40 X0. Y-0.1563</v>
      </c>
      <c r="CI48" s="23" t="str">
        <f>CE42</f>
        <v>M30</v>
      </c>
      <c r="CJ48" s="23" t="str">
        <f>CF42</f>
        <v>G03 X0.1891 Y0.1563 Z0.0156 R0,1591</v>
      </c>
      <c r="CV48" s="14"/>
      <c r="DB48" s="14"/>
      <c r="DC48" s="14"/>
      <c r="DD48" s="14"/>
      <c r="DE48" s="14"/>
      <c r="DF48" s="14"/>
      <c r="DG48" s="14"/>
      <c r="DH48" s="14"/>
      <c r="DI48" s="14"/>
      <c r="DJ48" s="14"/>
      <c r="DK48" s="14"/>
      <c r="DL48" s="14"/>
      <c r="DM48" s="14"/>
      <c r="DN48" s="14"/>
      <c r="DO48" s="14"/>
    </row>
    <row r="49" spans="7:131" ht="15.95" customHeight="1">
      <c r="G49" s="5" t="str">
        <f>IF(BW141=0,"",BW141)</f>
        <v/>
      </c>
      <c r="I49" s="5" t="str">
        <f t="shared" si="15"/>
        <v>Copper, Brass, Bronze, &lt; 700 N/mm2</v>
      </c>
      <c r="J49" s="5" t="s">
        <v>732</v>
      </c>
      <c r="K49" s="5" t="s">
        <v>601</v>
      </c>
      <c r="L49" s="40" t="s">
        <v>966</v>
      </c>
      <c r="M49" s="5" t="s">
        <v>329</v>
      </c>
      <c r="N49" s="5" t="s">
        <v>1402</v>
      </c>
      <c r="O49" s="5" t="s">
        <v>575</v>
      </c>
      <c r="P49" s="5" t="s">
        <v>367</v>
      </c>
      <c r="Q49" s="5" t="s">
        <v>222</v>
      </c>
      <c r="R49" s="5" t="s">
        <v>98</v>
      </c>
      <c r="S49" s="5" t="s">
        <v>1348</v>
      </c>
      <c r="T49" s="5" t="s">
        <v>190</v>
      </c>
      <c r="U49" s="5" t="s">
        <v>525</v>
      </c>
      <c r="V49" s="5" t="s">
        <v>306</v>
      </c>
      <c r="W49" s="5" t="s">
        <v>775</v>
      </c>
      <c r="X49" s="38" t="s">
        <v>1448</v>
      </c>
      <c r="Y49" s="43" t="s">
        <v>967</v>
      </c>
      <c r="Z49" s="39" t="s">
        <v>968</v>
      </c>
      <c r="AA49" s="45" t="s">
        <v>969</v>
      </c>
      <c r="AB49" s="5" t="s">
        <v>1043</v>
      </c>
      <c r="AD49" s="131">
        <v>48</v>
      </c>
      <c r="AE49" s="266">
        <v>1</v>
      </c>
      <c r="AF49" s="266">
        <v>1</v>
      </c>
      <c r="AG49" s="266">
        <v>2</v>
      </c>
      <c r="AH49" s="263" t="s">
        <v>1547</v>
      </c>
      <c r="AI49" s="249">
        <v>0.125</v>
      </c>
      <c r="AJ49" s="249">
        <v>7.4999999999999997E-2</v>
      </c>
      <c r="AK49" s="250">
        <v>3</v>
      </c>
      <c r="AL49" s="251">
        <v>48</v>
      </c>
      <c r="AM49" s="249">
        <v>0.16700000000000001</v>
      </c>
      <c r="AN49" s="252">
        <v>2</v>
      </c>
      <c r="AO49" s="263">
        <v>8.900000000000001E-2</v>
      </c>
      <c r="AP49" s="55">
        <f t="shared" si="0"/>
        <v>48</v>
      </c>
      <c r="AQ49" s="16">
        <f t="shared" si="1"/>
        <v>48</v>
      </c>
      <c r="AR49" s="16" t="b">
        <f t="shared" si="2"/>
        <v>0</v>
      </c>
      <c r="AS49" s="16" t="b">
        <f t="shared" si="3"/>
        <v>0</v>
      </c>
      <c r="AT49" s="16">
        <f t="shared" si="4"/>
        <v>48</v>
      </c>
      <c r="AU49" s="16" t="b">
        <f t="shared" si="5"/>
        <v>0</v>
      </c>
      <c r="BA49" s="290">
        <v>4</v>
      </c>
      <c r="BB49" s="291">
        <v>100</v>
      </c>
      <c r="BC49" s="292">
        <v>0.13</v>
      </c>
      <c r="BD49" s="293">
        <v>0.18</v>
      </c>
      <c r="BE49" s="284"/>
      <c r="BF49" s="284"/>
      <c r="BG49" s="164" t="s">
        <v>970</v>
      </c>
      <c r="BH49" s="9"/>
      <c r="BI49" s="109" t="s">
        <v>690</v>
      </c>
      <c r="BJ49" s="110">
        <f>0.54*BL6</f>
        <v>3.3750000000000002E-2</v>
      </c>
      <c r="BO49" s="99" t="s">
        <v>971</v>
      </c>
      <c r="BP49" s="327">
        <f>IF(BP42=2,C9,ROUND(C9+0.05*BL6,4))</f>
        <v>0.37809999999999999</v>
      </c>
      <c r="BS49" s="14"/>
      <c r="BT49" s="14"/>
      <c r="BV49" s="8"/>
      <c r="BY49" s="23" t="str">
        <f t="shared" si="11"/>
        <v/>
      </c>
      <c r="CV49" s="14"/>
    </row>
    <row r="50" spans="7:131" ht="15.95" customHeight="1">
      <c r="G50" s="5" t="str">
        <f>IF(BW144=0,"",BW144)</f>
        <v/>
      </c>
      <c r="I50" s="5" t="str">
        <f t="shared" si="15"/>
        <v>Copper, High Strength Bronze, &lt; 1500 N/mm2</v>
      </c>
      <c r="J50" s="5" t="s">
        <v>610</v>
      </c>
      <c r="K50" s="5" t="s">
        <v>1379</v>
      </c>
      <c r="L50" s="40" t="s">
        <v>972</v>
      </c>
      <c r="M50" s="5" t="s">
        <v>330</v>
      </c>
      <c r="N50" s="5" t="s">
        <v>1401</v>
      </c>
      <c r="O50" s="5" t="s">
        <v>1270</v>
      </c>
      <c r="P50" s="5" t="s">
        <v>368</v>
      </c>
      <c r="Q50" s="5" t="s">
        <v>223</v>
      </c>
      <c r="R50" s="5" t="s">
        <v>99</v>
      </c>
      <c r="S50" s="5" t="s">
        <v>31</v>
      </c>
      <c r="T50" s="5" t="s">
        <v>191</v>
      </c>
      <c r="U50" s="5" t="s">
        <v>526</v>
      </c>
      <c r="V50" s="5" t="s">
        <v>307</v>
      </c>
      <c r="W50" s="5" t="s">
        <v>774</v>
      </c>
      <c r="X50" s="38" t="s">
        <v>0</v>
      </c>
      <c r="Y50" s="43" t="s">
        <v>973</v>
      </c>
      <c r="Z50" s="39" t="s">
        <v>974</v>
      </c>
      <c r="AA50" s="45" t="s">
        <v>975</v>
      </c>
      <c r="AB50" s="5" t="s">
        <v>1044</v>
      </c>
      <c r="AD50" s="131">
        <v>49</v>
      </c>
      <c r="AE50" s="266">
        <v>1</v>
      </c>
      <c r="AF50" s="266">
        <v>1</v>
      </c>
      <c r="AG50" s="266">
        <v>2</v>
      </c>
      <c r="AH50" s="263" t="s">
        <v>1548</v>
      </c>
      <c r="AI50" s="249">
        <v>0.125</v>
      </c>
      <c r="AJ50" s="249">
        <v>6.5000000000000002E-2</v>
      </c>
      <c r="AK50" s="250">
        <v>3</v>
      </c>
      <c r="AL50" s="251">
        <v>56</v>
      </c>
      <c r="AM50" s="249">
        <v>0.125</v>
      </c>
      <c r="AN50" s="252">
        <v>2</v>
      </c>
      <c r="AO50" s="263">
        <v>7.5999999999999998E-2</v>
      </c>
      <c r="AP50" s="55">
        <f t="shared" si="0"/>
        <v>49</v>
      </c>
      <c r="AQ50" s="16">
        <f t="shared" si="1"/>
        <v>49</v>
      </c>
      <c r="AR50" s="16" t="b">
        <f t="shared" si="2"/>
        <v>0</v>
      </c>
      <c r="AS50" s="16" t="b">
        <f t="shared" si="3"/>
        <v>0</v>
      </c>
      <c r="AT50" s="16">
        <f t="shared" si="4"/>
        <v>49</v>
      </c>
      <c r="AU50" s="16" t="b">
        <f t="shared" si="5"/>
        <v>0</v>
      </c>
      <c r="BA50" s="290">
        <v>5</v>
      </c>
      <c r="BB50" s="291">
        <v>80</v>
      </c>
      <c r="BC50" s="292">
        <v>0.12</v>
      </c>
      <c r="BD50" s="293">
        <v>0.17</v>
      </c>
      <c r="BE50" s="282"/>
      <c r="BF50" s="282"/>
      <c r="BG50" s="165" t="s">
        <v>976</v>
      </c>
      <c r="BH50" s="9"/>
      <c r="BI50" s="9" t="s">
        <v>977</v>
      </c>
      <c r="BJ50" s="9" t="s">
        <v>694</v>
      </c>
      <c r="BK50" s="21" t="s">
        <v>695</v>
      </c>
      <c r="BL50" s="16" t="s">
        <v>696</v>
      </c>
      <c r="BM50" s="7" t="s">
        <v>1387</v>
      </c>
      <c r="BN50" s="7" t="s">
        <v>1388</v>
      </c>
      <c r="BO50" s="99" t="s">
        <v>693</v>
      </c>
      <c r="BP50" s="327">
        <f>IF(BP42=4,ROUND((C22/2),4),ROUND((C9-BL6)/2,4))</f>
        <v>0.15629999999999999</v>
      </c>
      <c r="BS50" s="14"/>
      <c r="BT50" s="14"/>
      <c r="BV50" s="8"/>
      <c r="BY50" s="23" t="str">
        <f t="shared" si="11"/>
        <v/>
      </c>
      <c r="CV50" s="14"/>
    </row>
    <row r="51" spans="7:131" ht="15.95" customHeight="1">
      <c r="G51" s="5" t="str">
        <f>IF(BW147=0,"",BW147)</f>
        <v/>
      </c>
      <c r="I51" s="5" t="str">
        <f t="shared" si="15"/>
        <v>Aluminium, Unalloyed</v>
      </c>
      <c r="J51" s="5" t="s">
        <v>611</v>
      </c>
      <c r="K51" s="5" t="s">
        <v>1380</v>
      </c>
      <c r="L51" s="40" t="s">
        <v>978</v>
      </c>
      <c r="M51" s="5" t="s">
        <v>331</v>
      </c>
      <c r="N51" s="5" t="s">
        <v>1409</v>
      </c>
      <c r="O51" s="5" t="s">
        <v>1271</v>
      </c>
      <c r="P51" s="5" t="s">
        <v>369</v>
      </c>
      <c r="Q51" s="5" t="s">
        <v>224</v>
      </c>
      <c r="R51" s="5" t="s">
        <v>100</v>
      </c>
      <c r="S51" s="5" t="s">
        <v>1262</v>
      </c>
      <c r="T51" s="5" t="s">
        <v>192</v>
      </c>
      <c r="U51" s="5" t="s">
        <v>527</v>
      </c>
      <c r="V51" s="5" t="s">
        <v>573</v>
      </c>
      <c r="W51" s="5" t="s">
        <v>235</v>
      </c>
      <c r="X51" s="38" t="s">
        <v>1</v>
      </c>
      <c r="Y51" s="43" t="s">
        <v>979</v>
      </c>
      <c r="Z51" s="39" t="s">
        <v>980</v>
      </c>
      <c r="AA51" s="45" t="s">
        <v>981</v>
      </c>
      <c r="AB51" s="5" t="s">
        <v>1045</v>
      </c>
      <c r="AD51" s="131">
        <v>50</v>
      </c>
      <c r="AE51" s="262">
        <v>1</v>
      </c>
      <c r="AF51" s="262">
        <v>2</v>
      </c>
      <c r="AG51" s="262">
        <v>3</v>
      </c>
      <c r="AH51" s="263" t="s">
        <v>1549</v>
      </c>
      <c r="AI51" s="267">
        <v>0.25</v>
      </c>
      <c r="AJ51" s="265">
        <v>0.245</v>
      </c>
      <c r="AK51" s="268">
        <v>3</v>
      </c>
      <c r="AL51" s="199">
        <v>27</v>
      </c>
      <c r="AM51" s="250">
        <v>0.437</v>
      </c>
      <c r="AN51" s="263">
        <v>2.5</v>
      </c>
      <c r="AO51" s="265">
        <v>0.27559055118110237</v>
      </c>
      <c r="AP51" s="55">
        <f t="shared" si="0"/>
        <v>50</v>
      </c>
      <c r="AQ51" s="16">
        <f t="shared" si="1"/>
        <v>50</v>
      </c>
      <c r="AR51" s="16" t="b">
        <f t="shared" si="2"/>
        <v>0</v>
      </c>
      <c r="AS51" s="16" t="b">
        <f t="shared" si="3"/>
        <v>0</v>
      </c>
      <c r="AT51" s="16" t="b">
        <f t="shared" si="4"/>
        <v>0</v>
      </c>
      <c r="AU51" s="16" t="b">
        <f t="shared" si="5"/>
        <v>0</v>
      </c>
      <c r="BA51" s="290">
        <v>6</v>
      </c>
      <c r="BB51" s="291">
        <v>70</v>
      </c>
      <c r="BC51" s="292">
        <v>0.03</v>
      </c>
      <c r="BD51" s="293">
        <v>0.06</v>
      </c>
      <c r="BE51" s="297"/>
      <c r="BF51" s="297"/>
      <c r="BG51" s="340">
        <f>ROUND((((BP50-BP51)*(BP50-BP51))+(((BJ51+ROUND(TAN(1.783*PI()/180)*BL6/4,4))/2)*((BJ51+ROUND(TAN(1.783*PI()/180)*BL6/4,4))/2)))/BJ51,4)</f>
        <v>0.15790000000000001</v>
      </c>
      <c r="BH51" s="435" t="s">
        <v>691</v>
      </c>
      <c r="BI51" s="121">
        <v>1</v>
      </c>
      <c r="BJ51" s="326">
        <f>ROUND(BP49-(2*0.33*BJ49),4)</f>
        <v>0.35580000000000001</v>
      </c>
      <c r="BK51" s="344">
        <f>ROUND((((BP50-BP51)*(BP50-BP51))+((BJ51/2)*(BJ51/2)))/BJ51,4)</f>
        <v>0.15759999999999999</v>
      </c>
      <c r="BL51" s="112">
        <f>ROUND(180-(DEGREES(ASIN((BP50-BP51)/BK51))),2)</f>
        <v>97.36</v>
      </c>
      <c r="BM51" s="112">
        <f>ROUND(C$29*(BJ51-BE$13)/BJ51,1)</f>
        <v>3.8</v>
      </c>
      <c r="BN51" s="122">
        <f>((C11+C12+BL6/4)*60/200)+((C11+C12-(5*BL6/4))*60/200)+((188.5*BJ51)/(4*0.5*0.88*C29))+(188.5*BJ51*5/(4*0.88*C29))</f>
        <v>7.5409584330143549</v>
      </c>
      <c r="BO51" s="99" t="s">
        <v>1013</v>
      </c>
      <c r="BP51" s="100">
        <v>0</v>
      </c>
      <c r="BS51" s="14"/>
      <c r="BT51" s="14"/>
      <c r="BV51" s="8">
        <v>17</v>
      </c>
      <c r="BW51" s="54" t="str">
        <f>LOOKUP(BT$54,BX$2:CK$2,BX51:CK51)</f>
        <v/>
      </c>
      <c r="BY51" s="23" t="str">
        <f t="shared" si="11"/>
        <v/>
      </c>
      <c r="BZ51" s="23" t="str">
        <f>BY33</f>
        <v>M30</v>
      </c>
      <c r="CA51" s="23" t="str">
        <f>BY33</f>
        <v>M30</v>
      </c>
      <c r="CB51" s="23" t="str">
        <f>BZ42</f>
        <v>G00 G40 X0. Y-0.1563</v>
      </c>
      <c r="CD51" s="23" t="str">
        <f>CD21</f>
        <v>#2=0</v>
      </c>
      <c r="CF51" s="23" t="str">
        <f>CE24</f>
        <v>G03 X0.19 Y-0.1905 Z0.0156 I0.19 J-0.0005</v>
      </c>
      <c r="CH51" s="23" t="str">
        <f>BZ45</f>
        <v>G00 Z0.8219</v>
      </c>
      <c r="CJ51" s="23" t="str">
        <f>CF45</f>
        <v>G03 X-0.1891 Y0.1895 Z0.0156 I-0.1891 J0.0005 F4,6</v>
      </c>
      <c r="CV51" s="14"/>
    </row>
    <row r="52" spans="7:131" ht="15.95" customHeight="1">
      <c r="G52" s="94"/>
      <c r="I52" s="5" t="str">
        <f t="shared" si="15"/>
        <v>Aluminium, Alloyed, &lt; 0.5% Si</v>
      </c>
      <c r="J52" s="5" t="s">
        <v>757</v>
      </c>
      <c r="K52" s="5" t="s">
        <v>1381</v>
      </c>
      <c r="L52" s="40" t="s">
        <v>982</v>
      </c>
      <c r="M52" s="5" t="s">
        <v>332</v>
      </c>
      <c r="N52" s="5" t="s">
        <v>1410</v>
      </c>
      <c r="O52" s="5" t="s">
        <v>1272</v>
      </c>
      <c r="P52" s="5" t="s">
        <v>344</v>
      </c>
      <c r="Q52" s="5" t="s">
        <v>225</v>
      </c>
      <c r="R52" s="5" t="s">
        <v>101</v>
      </c>
      <c r="S52" s="5" t="s">
        <v>1263</v>
      </c>
      <c r="T52" s="5" t="s">
        <v>478</v>
      </c>
      <c r="U52" s="5" t="s">
        <v>1323</v>
      </c>
      <c r="V52" s="5" t="s">
        <v>308</v>
      </c>
      <c r="W52" s="5" t="s">
        <v>236</v>
      </c>
      <c r="X52" s="38" t="s">
        <v>2</v>
      </c>
      <c r="Y52" s="43" t="s">
        <v>983</v>
      </c>
      <c r="Z52" s="39" t="s">
        <v>984</v>
      </c>
      <c r="AA52" s="45" t="s">
        <v>985</v>
      </c>
      <c r="AB52" s="5" t="s">
        <v>1046</v>
      </c>
      <c r="AD52" s="131">
        <v>51</v>
      </c>
      <c r="AE52" s="262">
        <v>1</v>
      </c>
      <c r="AF52" s="262">
        <v>2</v>
      </c>
      <c r="AG52" s="262">
        <v>3</v>
      </c>
      <c r="AH52" s="263" t="s">
        <v>1550</v>
      </c>
      <c r="AI52" s="263">
        <v>0.312</v>
      </c>
      <c r="AJ52" s="265">
        <v>0.30499999999999999</v>
      </c>
      <c r="AK52" s="268">
        <v>4</v>
      </c>
      <c r="AL52" s="199">
        <v>18</v>
      </c>
      <c r="AM52" s="269">
        <v>0.625</v>
      </c>
      <c r="AN52" s="263">
        <v>3</v>
      </c>
      <c r="AO52" s="265">
        <v>0.47244094488188981</v>
      </c>
      <c r="AP52" s="35">
        <f t="shared" si="0"/>
        <v>51</v>
      </c>
      <c r="AQ52" s="16" t="b">
        <f t="shared" si="1"/>
        <v>0</v>
      </c>
      <c r="AR52" s="16" t="b">
        <f t="shared" si="2"/>
        <v>0</v>
      </c>
      <c r="AS52" s="16" t="b">
        <f t="shared" si="3"/>
        <v>0</v>
      </c>
      <c r="AT52" s="16" t="b">
        <f t="shared" si="4"/>
        <v>0</v>
      </c>
      <c r="AU52" s="16" t="b">
        <f t="shared" si="5"/>
        <v>0</v>
      </c>
      <c r="BA52" s="290">
        <v>7</v>
      </c>
      <c r="BB52" s="291">
        <v>40</v>
      </c>
      <c r="BC52" s="292">
        <v>0.02</v>
      </c>
      <c r="BD52" s="293">
        <v>0.04</v>
      </c>
      <c r="BE52" s="298"/>
      <c r="BF52" s="298"/>
      <c r="BG52" s="340">
        <f>ROUND((((BP50-BP51)*(BP50-BP51))+(((BJ52+ROUND(TAN(1.783*PI()/180)*BL6/4,4))/2)*((BJ52+ROUND(TAN(1.783*PI()/180)*BL6/4,4))/2)))/BJ52,4)</f>
        <v>0.15939999999999999</v>
      </c>
      <c r="BH52" s="436"/>
      <c r="BI52" s="121">
        <v>2</v>
      </c>
      <c r="BJ52" s="326">
        <f>BP49</f>
        <v>0.37809999999999999</v>
      </c>
      <c r="BK52" s="344">
        <f>ROUND((((BP50-BP51)*(BP50-BP51))+((BJ52/2)*(BJ52/2)))/BJ52,4)</f>
        <v>0.15909999999999999</v>
      </c>
      <c r="BL52" s="112">
        <f>ROUND(180-(DEGREES(ASIN((BP50-BP51)/BK52))),2)</f>
        <v>100.77</v>
      </c>
      <c r="BM52" s="112">
        <f>ROUND(C$29*(BJ52-BE$13)/BJ52,1)</f>
        <v>4.7</v>
      </c>
      <c r="BN52" s="122">
        <f>((C11+C12+BL6/4)*60/200)+((C11+C12-(5*BL6/4))*60/200)+((188.5*BJ52)/(4*0.5*C29))+(188.5*BJ52*5/(4*C29))</f>
        <v>7.0857624999999995</v>
      </c>
      <c r="BO52" s="99" t="s">
        <v>986</v>
      </c>
      <c r="BP52" s="107">
        <f>ROUND((((BP50-BP51)*(BP50-BP51))+((BP49/2)*(BP49/2)))/BP49,4)</f>
        <v>0.15909999999999999</v>
      </c>
      <c r="BS52" s="14"/>
      <c r="BT52" s="14"/>
      <c r="BV52" s="8"/>
      <c r="BY52" s="23" t="str">
        <f t="shared" si="11"/>
        <v/>
      </c>
      <c r="CV52" s="14"/>
    </row>
    <row r="53" spans="7:131" ht="15.95" customHeight="1">
      <c r="I53" s="5" t="str">
        <f t="shared" si="15"/>
        <v>Aluminium, Alloyed, &lt; 10% Si</v>
      </c>
      <c r="J53" s="5" t="s">
        <v>758</v>
      </c>
      <c r="K53" s="5" t="s">
        <v>625</v>
      </c>
      <c r="L53" s="40" t="s">
        <v>987</v>
      </c>
      <c r="M53" s="5" t="s">
        <v>333</v>
      </c>
      <c r="N53" s="5" t="s">
        <v>1411</v>
      </c>
      <c r="O53" s="5" t="s">
        <v>1273</v>
      </c>
      <c r="P53" s="5" t="s">
        <v>345</v>
      </c>
      <c r="Q53" s="5" t="s">
        <v>226</v>
      </c>
      <c r="R53" s="5" t="s">
        <v>102</v>
      </c>
      <c r="S53" s="5" t="s">
        <v>1264</v>
      </c>
      <c r="T53" s="5" t="s">
        <v>479</v>
      </c>
      <c r="U53" s="5" t="s">
        <v>520</v>
      </c>
      <c r="V53" s="5" t="s">
        <v>309</v>
      </c>
      <c r="W53" s="5" t="s">
        <v>1429</v>
      </c>
      <c r="X53" s="38" t="s">
        <v>3</v>
      </c>
      <c r="Y53" s="43" t="s">
        <v>988</v>
      </c>
      <c r="Z53" s="39" t="s">
        <v>989</v>
      </c>
      <c r="AA53" s="45" t="s">
        <v>990</v>
      </c>
      <c r="AB53" s="5" t="s">
        <v>1049</v>
      </c>
      <c r="AD53" s="131">
        <v>52</v>
      </c>
      <c r="AE53" s="262">
        <v>1</v>
      </c>
      <c r="AF53" s="262">
        <v>2</v>
      </c>
      <c r="AG53" s="262">
        <v>3</v>
      </c>
      <c r="AH53" s="263" t="s">
        <v>1551</v>
      </c>
      <c r="AI53" s="263">
        <v>0.375</v>
      </c>
      <c r="AJ53" s="265">
        <v>0.36299999999999999</v>
      </c>
      <c r="AK53" s="268">
        <v>4</v>
      </c>
      <c r="AL53" s="199">
        <v>18</v>
      </c>
      <c r="AM53" s="269">
        <v>0.68</v>
      </c>
      <c r="AN53" s="263">
        <v>3.5</v>
      </c>
      <c r="AO53" s="265">
        <v>0.47244094488188981</v>
      </c>
      <c r="AP53" s="35">
        <f t="shared" si="0"/>
        <v>52</v>
      </c>
      <c r="AQ53" s="16" t="b">
        <f t="shared" si="1"/>
        <v>0</v>
      </c>
      <c r="AR53" s="16" t="b">
        <f t="shared" si="2"/>
        <v>0</v>
      </c>
      <c r="AS53" s="16" t="b">
        <f t="shared" si="3"/>
        <v>0</v>
      </c>
      <c r="AT53" s="16" t="b">
        <f t="shared" si="4"/>
        <v>0</v>
      </c>
      <c r="AU53" s="16" t="b">
        <f t="shared" si="5"/>
        <v>0</v>
      </c>
      <c r="BA53" s="290">
        <v>8</v>
      </c>
      <c r="BB53" s="291">
        <v>28</v>
      </c>
      <c r="BC53" s="292">
        <v>1.4999999999999999E-2</v>
      </c>
      <c r="BD53" s="293">
        <v>0.03</v>
      </c>
      <c r="BE53" s="297"/>
      <c r="BF53" s="297"/>
      <c r="BG53" s="9"/>
      <c r="BH53" s="108"/>
      <c r="BI53" s="6"/>
      <c r="BJ53" s="9"/>
      <c r="BK53" s="16"/>
      <c r="BL53" s="16"/>
      <c r="BM53" s="16"/>
      <c r="BN53" s="16">
        <f>ROUND(BN51+BN52,0)</f>
        <v>15</v>
      </c>
      <c r="BO53" s="99" t="s">
        <v>991</v>
      </c>
      <c r="BP53" s="100">
        <f>ROUND(180-(DEGREES(ASIN((BP50-BP51)/BP52))),2)</f>
        <v>100.77</v>
      </c>
      <c r="BS53" s="14"/>
      <c r="BT53" s="14"/>
      <c r="BV53" s="8"/>
      <c r="BY53" s="23" t="str">
        <f t="shared" si="11"/>
        <v/>
      </c>
      <c r="CV53" s="14"/>
    </row>
    <row r="54" spans="7:131" ht="15.95" customHeight="1">
      <c r="I54" s="5" t="str">
        <f t="shared" si="15"/>
        <v>Aluminium, Alloyed, &gt; 10% Si</v>
      </c>
      <c r="J54" s="5" t="s">
        <v>1318</v>
      </c>
      <c r="K54" s="5" t="s">
        <v>1310</v>
      </c>
      <c r="L54" s="40" t="s">
        <v>992</v>
      </c>
      <c r="M54" s="5" t="s">
        <v>333</v>
      </c>
      <c r="N54" s="5" t="s">
        <v>1385</v>
      </c>
      <c r="O54" s="5" t="s">
        <v>1273</v>
      </c>
      <c r="P54" s="5" t="s">
        <v>346</v>
      </c>
      <c r="Q54" s="5" t="s">
        <v>212</v>
      </c>
      <c r="R54" s="5" t="s">
        <v>103</v>
      </c>
      <c r="S54" s="5" t="s">
        <v>1265</v>
      </c>
      <c r="T54" s="5" t="s">
        <v>480</v>
      </c>
      <c r="U54" s="5" t="s">
        <v>521</v>
      </c>
      <c r="V54" s="5" t="s">
        <v>310</v>
      </c>
      <c r="W54" s="5" t="s">
        <v>1430</v>
      </c>
      <c r="X54" s="38" t="s">
        <v>4</v>
      </c>
      <c r="Y54" s="43" t="s">
        <v>993</v>
      </c>
      <c r="Z54" s="39" t="s">
        <v>994</v>
      </c>
      <c r="AA54" s="45" t="s">
        <v>995</v>
      </c>
      <c r="AB54" s="5" t="s">
        <v>1050</v>
      </c>
      <c r="AD54" s="131">
        <v>53</v>
      </c>
      <c r="AE54" s="262">
        <v>1</v>
      </c>
      <c r="AF54" s="262">
        <v>2</v>
      </c>
      <c r="AG54" s="262">
        <v>3</v>
      </c>
      <c r="AH54" s="263" t="s">
        <v>1552</v>
      </c>
      <c r="AI54" s="267">
        <v>0.5</v>
      </c>
      <c r="AJ54" s="265">
        <v>0.495</v>
      </c>
      <c r="AK54" s="268">
        <v>4</v>
      </c>
      <c r="AL54" s="199">
        <v>14</v>
      </c>
      <c r="AM54" s="269">
        <v>0.875</v>
      </c>
      <c r="AN54" s="263">
        <v>3.5</v>
      </c>
      <c r="AO54" s="265">
        <v>0.59842519685039375</v>
      </c>
      <c r="AP54" s="35">
        <f t="shared" si="0"/>
        <v>53</v>
      </c>
      <c r="AQ54" s="16" t="b">
        <f t="shared" si="1"/>
        <v>0</v>
      </c>
      <c r="AR54" s="16" t="b">
        <f t="shared" si="2"/>
        <v>0</v>
      </c>
      <c r="AS54" s="16">
        <f t="shared" si="3"/>
        <v>53</v>
      </c>
      <c r="AT54" s="16" t="b">
        <f t="shared" si="4"/>
        <v>0</v>
      </c>
      <c r="AU54" s="16" t="b">
        <f t="shared" si="5"/>
        <v>0</v>
      </c>
      <c r="BA54" s="290">
        <v>9</v>
      </c>
      <c r="BB54" s="291">
        <v>100</v>
      </c>
      <c r="BC54" s="299">
        <v>0.14000000000000001</v>
      </c>
      <c r="BD54" s="300">
        <v>0.2</v>
      </c>
      <c r="BE54" s="284"/>
      <c r="BF54" s="284"/>
      <c r="BG54" s="9"/>
      <c r="BH54" s="432" t="s">
        <v>692</v>
      </c>
      <c r="BI54" s="123">
        <v>1</v>
      </c>
      <c r="BJ54" s="338">
        <f>ROUND(BP49-(2*0.5*BJ49),4)</f>
        <v>0.34439999999999998</v>
      </c>
      <c r="BK54" s="345">
        <f>ROUND((((BP50-BP51)*(BP50-BP51))+((BJ54/2)*(BJ54/2)))/BJ54,4)</f>
        <v>0.157</v>
      </c>
      <c r="BL54" s="125">
        <f>ROUND(180-(DEGREES(ASIN((BP50-BP51)/BK54))),2)</f>
        <v>95.41</v>
      </c>
      <c r="BM54" s="125">
        <f>ROUND(C$29*(BJ54-BE$13)/BJ54,1)</f>
        <v>3.3</v>
      </c>
      <c r="BN54" s="126">
        <f>278*BJ54/C$29</f>
        <v>5.0391157894736844</v>
      </c>
      <c r="BO54" s="99" t="s">
        <v>996</v>
      </c>
      <c r="BP54" s="327">
        <f>ROUND(BL6/4,4)</f>
        <v>1.5599999999999999E-2</v>
      </c>
      <c r="BS54" s="81" t="s">
        <v>1499</v>
      </c>
      <c r="BT54" s="82">
        <f>BT13-SUM(BT15:BT38)</f>
        <v>11</v>
      </c>
      <c r="BV54" s="8">
        <v>18</v>
      </c>
      <c r="BW54" s="54" t="str">
        <f>LOOKUP(BT$54,BX$2:CK$2,BX54:CK54)</f>
        <v/>
      </c>
      <c r="BY54" s="23" t="str">
        <f t="shared" si="11"/>
        <v/>
      </c>
      <c r="CB54" s="23" t="str">
        <f>CA36</f>
        <v>G00 Z0.6563</v>
      </c>
      <c r="CD54" s="23" t="str">
        <f>CONCATENATE(EA54)</f>
        <v>WHILE[#2LT#1]DO2</v>
      </c>
      <c r="CF54" s="23" t="str">
        <f>CE27</f>
        <v>G03 X0.191 Y0.1905 Z0.0156 I0.0005 J0.1905</v>
      </c>
      <c r="CH54" s="23" t="str">
        <f>BZ48</f>
        <v>G90 G49 G00 Z8. M5</v>
      </c>
      <c r="CJ54" s="23" t="str">
        <f>CF48</f>
        <v>G03 X-0.19 Y-0.1895 Z0.0156 I-0.0005 J-0.1895</v>
      </c>
      <c r="CV54" s="14"/>
      <c r="DZ54" s="26">
        <v>18</v>
      </c>
      <c r="EA54" s="5" t="s">
        <v>1417</v>
      </c>
    </row>
    <row r="55" spans="7:131" ht="15.95" customHeight="1">
      <c r="I55" s="5" t="str">
        <f t="shared" si="15"/>
        <v>Inconel 718</v>
      </c>
      <c r="J55" s="5" t="s">
        <v>1319</v>
      </c>
      <c r="K55" s="5" t="s">
        <v>1319</v>
      </c>
      <c r="L55" s="40" t="s">
        <v>997</v>
      </c>
      <c r="M55" s="5" t="s">
        <v>1319</v>
      </c>
      <c r="N55" s="5" t="s">
        <v>1319</v>
      </c>
      <c r="O55" s="5" t="s">
        <v>1319</v>
      </c>
      <c r="P55" s="5" t="s">
        <v>347</v>
      </c>
      <c r="Q55" s="5" t="s">
        <v>1319</v>
      </c>
      <c r="R55" s="5" t="s">
        <v>1319</v>
      </c>
      <c r="S55" s="5" t="s">
        <v>1319</v>
      </c>
      <c r="T55" s="5" t="s">
        <v>1319</v>
      </c>
      <c r="U55" s="5" t="s">
        <v>522</v>
      </c>
      <c r="V55" s="5" t="s">
        <v>577</v>
      </c>
      <c r="W55" s="5" t="s">
        <v>1319</v>
      </c>
      <c r="X55" s="38" t="s">
        <v>5</v>
      </c>
      <c r="Y55" s="43" t="s">
        <v>998</v>
      </c>
      <c r="Z55" s="39" t="s">
        <v>999</v>
      </c>
      <c r="AA55" s="47" t="s">
        <v>1000</v>
      </c>
      <c r="AB55" s="5" t="s">
        <v>1051</v>
      </c>
      <c r="AD55" s="131">
        <v>54</v>
      </c>
      <c r="AE55" s="262">
        <v>1</v>
      </c>
      <c r="AF55" s="262">
        <v>2</v>
      </c>
      <c r="AG55" s="262">
        <v>3</v>
      </c>
      <c r="AH55" s="263" t="s">
        <v>1553</v>
      </c>
      <c r="AI55" s="263">
        <v>0.625</v>
      </c>
      <c r="AJ55" s="265">
        <v>0.62</v>
      </c>
      <c r="AK55" s="268">
        <v>4</v>
      </c>
      <c r="AL55" s="270">
        <v>11.5</v>
      </c>
      <c r="AM55" s="269">
        <v>1.125</v>
      </c>
      <c r="AN55" s="263">
        <v>4</v>
      </c>
      <c r="AO55" s="265">
        <v>0.78740157480314965</v>
      </c>
      <c r="AP55" s="35">
        <f t="shared" si="0"/>
        <v>54</v>
      </c>
      <c r="AQ55" s="16" t="b">
        <f t="shared" si="1"/>
        <v>0</v>
      </c>
      <c r="AR55" s="16" t="b">
        <f t="shared" si="2"/>
        <v>0</v>
      </c>
      <c r="AS55" s="16">
        <f t="shared" si="3"/>
        <v>54</v>
      </c>
      <c r="AT55" s="16" t="b">
        <f t="shared" si="4"/>
        <v>0</v>
      </c>
      <c r="AU55" s="16" t="b">
        <f t="shared" si="5"/>
        <v>0</v>
      </c>
      <c r="BA55" s="290">
        <v>10</v>
      </c>
      <c r="BB55" s="291">
        <v>80</v>
      </c>
      <c r="BC55" s="299">
        <v>0.13</v>
      </c>
      <c r="BD55" s="300">
        <v>0.18</v>
      </c>
      <c r="BE55" s="284"/>
      <c r="BF55" s="301"/>
      <c r="BG55" s="9"/>
      <c r="BH55" s="433"/>
      <c r="BI55" s="123">
        <v>2</v>
      </c>
      <c r="BJ55" s="338">
        <f>ROUND(BP49-(2*0.2*BJ49),4)</f>
        <v>0.36459999999999998</v>
      </c>
      <c r="BK55" s="125">
        <f>ROUND((((BP50-BP51)*(BP50-BP51))+((BJ55/2)*(BJ55/2)))/BJ55,4)</f>
        <v>0.15820000000000001</v>
      </c>
      <c r="BL55" s="125">
        <f>ROUND(180-(DEGREES(ASIN((BP50-BP51)/BK55))),2)</f>
        <v>98.89</v>
      </c>
      <c r="BM55" s="125">
        <f>ROUND(C$29*(BJ55-BE$13)/BJ55,1)</f>
        <v>4.0999999999999996</v>
      </c>
      <c r="BN55" s="126">
        <f>278*BJ55/C$29</f>
        <v>5.334673684210526</v>
      </c>
      <c r="BO55" s="99" t="s">
        <v>1001</v>
      </c>
      <c r="BP55" s="328">
        <f>(-BP50+BP51)</f>
        <v>-0.15629999999999999</v>
      </c>
      <c r="BV55" s="8"/>
      <c r="BY55" s="23" t="str">
        <f t="shared" si="11"/>
        <v/>
      </c>
      <c r="CV55" s="14"/>
    </row>
    <row r="56" spans="7:131" ht="15.95" customHeight="1">
      <c r="I56" s="5" t="str">
        <f t="shared" si="15"/>
        <v>Graphite</v>
      </c>
      <c r="J56" s="5" t="s">
        <v>770</v>
      </c>
      <c r="K56" s="5" t="s">
        <v>1311</v>
      </c>
      <c r="L56" s="40" t="s">
        <v>1002</v>
      </c>
      <c r="M56" s="5" t="s">
        <v>1431</v>
      </c>
      <c r="N56" s="5" t="s">
        <v>234</v>
      </c>
      <c r="O56" s="5" t="s">
        <v>770</v>
      </c>
      <c r="P56" s="5" t="s">
        <v>348</v>
      </c>
      <c r="Q56" s="5" t="s">
        <v>213</v>
      </c>
      <c r="R56" s="5" t="s">
        <v>104</v>
      </c>
      <c r="S56" s="5" t="s">
        <v>1431</v>
      </c>
      <c r="T56" s="5" t="s">
        <v>348</v>
      </c>
      <c r="U56" s="5" t="s">
        <v>1431</v>
      </c>
      <c r="V56" s="5" t="s">
        <v>578</v>
      </c>
      <c r="W56" s="5" t="s">
        <v>1431</v>
      </c>
      <c r="X56" s="38" t="s">
        <v>6</v>
      </c>
      <c r="Y56" s="43" t="s">
        <v>1003</v>
      </c>
      <c r="Z56" s="39" t="s">
        <v>1004</v>
      </c>
      <c r="AA56" s="45" t="s">
        <v>1004</v>
      </c>
      <c r="AB56" s="5" t="s">
        <v>1052</v>
      </c>
      <c r="AD56" s="131">
        <v>55</v>
      </c>
      <c r="AE56" s="262">
        <v>1</v>
      </c>
      <c r="AF56" s="262">
        <v>2</v>
      </c>
      <c r="AG56" s="262">
        <v>3</v>
      </c>
      <c r="AH56" s="263" t="s">
        <v>1554</v>
      </c>
      <c r="AI56" s="267">
        <v>0.75</v>
      </c>
      <c r="AJ56" s="263">
        <v>0.745</v>
      </c>
      <c r="AK56" s="263">
        <v>4</v>
      </c>
      <c r="AL56" s="271">
        <v>8</v>
      </c>
      <c r="AM56" s="269" t="s">
        <v>1555</v>
      </c>
      <c r="AN56" s="263">
        <v>5</v>
      </c>
      <c r="AO56" s="265">
        <v>1.0236220472440944</v>
      </c>
      <c r="AP56" s="35">
        <f t="shared" si="0"/>
        <v>55</v>
      </c>
      <c r="AQ56" s="16" t="b">
        <f t="shared" si="1"/>
        <v>0</v>
      </c>
      <c r="AR56" s="16" t="b">
        <f t="shared" si="2"/>
        <v>0</v>
      </c>
      <c r="AS56" s="16">
        <f t="shared" si="3"/>
        <v>55</v>
      </c>
      <c r="AT56" s="16" t="b">
        <f t="shared" si="4"/>
        <v>0</v>
      </c>
      <c r="AU56" s="16" t="b">
        <f t="shared" si="5"/>
        <v>0</v>
      </c>
      <c r="BA56" s="290">
        <v>11</v>
      </c>
      <c r="BB56" s="291">
        <v>100</v>
      </c>
      <c r="BC56" s="299">
        <v>0.14000000000000001</v>
      </c>
      <c r="BD56" s="300">
        <v>0.2</v>
      </c>
      <c r="BE56" s="284"/>
      <c r="BF56" s="284"/>
      <c r="BG56" s="9"/>
      <c r="BH56" s="434"/>
      <c r="BI56" s="123">
        <v>3</v>
      </c>
      <c r="BJ56" s="338">
        <f>BP49</f>
        <v>0.37809999999999999</v>
      </c>
      <c r="BK56" s="125">
        <f>ROUND((((BP50-BP51)*(BP50-BP51))+((BJ56/2)*(BJ56/2)))/BJ56,4)</f>
        <v>0.15909999999999999</v>
      </c>
      <c r="BL56" s="125">
        <f>ROUND(180-(DEGREES(ASIN((BP50-BP51)/BK56))),2)</f>
        <v>100.77</v>
      </c>
      <c r="BM56" s="125">
        <f>ROUND(C$29*(BJ56-BE$13)/BJ56,1)</f>
        <v>4.7</v>
      </c>
      <c r="BN56" s="126">
        <f>278*BJ56/C$29</f>
        <v>5.5322000000000005</v>
      </c>
      <c r="BO56" s="99" t="s">
        <v>1005</v>
      </c>
      <c r="BP56" s="330">
        <f>C11+C12+BP54</f>
        <v>0.91559999999999997</v>
      </c>
      <c r="BV56" s="8"/>
      <c r="BY56" s="23" t="str">
        <f t="shared" si="11"/>
        <v/>
      </c>
      <c r="CV56" s="14"/>
    </row>
    <row r="57" spans="7:131" ht="15.95" customHeight="1">
      <c r="X57" s="38"/>
      <c r="AA57" s="46"/>
      <c r="AD57" s="131">
        <v>56</v>
      </c>
      <c r="AE57" s="262">
        <v>1</v>
      </c>
      <c r="AF57" s="262">
        <v>2</v>
      </c>
      <c r="AG57" s="262">
        <v>4</v>
      </c>
      <c r="AH57" s="263" t="s">
        <v>1556</v>
      </c>
      <c r="AI57" s="267">
        <v>0.25</v>
      </c>
      <c r="AJ57" s="263">
        <v>0.245</v>
      </c>
      <c r="AK57" s="263">
        <v>3</v>
      </c>
      <c r="AL57" s="85">
        <v>27</v>
      </c>
      <c r="AM57" s="269">
        <v>0.437</v>
      </c>
      <c r="AN57" s="263">
        <v>2.5</v>
      </c>
      <c r="AO57" s="265">
        <v>0.27559055118110237</v>
      </c>
      <c r="AP57" s="35">
        <f t="shared" si="0"/>
        <v>56</v>
      </c>
      <c r="AQ57" s="16">
        <f t="shared" si="1"/>
        <v>56</v>
      </c>
      <c r="AR57" s="16" t="b">
        <f t="shared" si="2"/>
        <v>0</v>
      </c>
      <c r="AS57" s="16" t="b">
        <f t="shared" si="3"/>
        <v>0</v>
      </c>
      <c r="AT57" s="16" t="b">
        <f t="shared" si="4"/>
        <v>0</v>
      </c>
      <c r="AU57" s="16" t="b">
        <f t="shared" si="5"/>
        <v>0</v>
      </c>
      <c r="BA57" s="290">
        <v>12</v>
      </c>
      <c r="BB57" s="291">
        <v>80</v>
      </c>
      <c r="BC57" s="299">
        <v>0.13</v>
      </c>
      <c r="BD57" s="300">
        <v>0.18</v>
      </c>
      <c r="BE57" s="302"/>
      <c r="BF57" s="302"/>
      <c r="BK57" s="18"/>
      <c r="BL57" s="4"/>
      <c r="BM57" s="16"/>
      <c r="BN57" s="16">
        <f>ROUND(BN54+BN55+BN56,0)</f>
        <v>16</v>
      </c>
      <c r="BO57" s="8"/>
      <c r="BP57" s="14"/>
      <c r="BV57" s="8">
        <v>19</v>
      </c>
      <c r="BW57" s="54" t="str">
        <f>LOOKUP(BT$54,BX$2:CK$2,BX57:CK57)</f>
        <v/>
      </c>
      <c r="BY57" s="23" t="str">
        <f t="shared" si="11"/>
        <v/>
      </c>
      <c r="CB57" s="23" t="str">
        <f>CA39</f>
        <v>#2=#2+1</v>
      </c>
      <c r="CD57" s="23" t="str">
        <f>BZ36</f>
        <v>G03 X0. Y0. Z0.0625 I-0.1891 J0. F4,6</v>
      </c>
      <c r="CF57" s="23" t="str">
        <f>CE30</f>
        <v>G03 X-0.191 Y0.1563 Z0.0156 R0,1594</v>
      </c>
      <c r="CH57" s="23" t="str">
        <f>BZ51</f>
        <v>M30</v>
      </c>
      <c r="CJ57" s="23" t="str">
        <f>CF51</f>
        <v>G03 X0.19 Y-0.1905 Z0.0156 I0.19 J-0.0005</v>
      </c>
    </row>
    <row r="58" spans="7:131" ht="15.95" customHeight="1">
      <c r="X58" s="38"/>
      <c r="AA58" s="46"/>
      <c r="AD58" s="131">
        <v>57</v>
      </c>
      <c r="AE58" s="262">
        <v>1</v>
      </c>
      <c r="AF58" s="262">
        <v>2</v>
      </c>
      <c r="AG58" s="262">
        <v>4</v>
      </c>
      <c r="AH58" s="263" t="s">
        <v>1557</v>
      </c>
      <c r="AI58" s="263">
        <v>0.312</v>
      </c>
      <c r="AJ58" s="263">
        <v>0.30499999999999999</v>
      </c>
      <c r="AK58" s="263">
        <v>4</v>
      </c>
      <c r="AL58" s="85">
        <v>18</v>
      </c>
      <c r="AM58" s="269">
        <v>0.625</v>
      </c>
      <c r="AN58" s="263">
        <v>3</v>
      </c>
      <c r="AO58" s="265">
        <v>0.47244094488188981</v>
      </c>
      <c r="AP58" s="35">
        <f t="shared" si="0"/>
        <v>57</v>
      </c>
      <c r="AQ58" s="16" t="b">
        <f t="shared" si="1"/>
        <v>0</v>
      </c>
      <c r="AR58" s="16" t="b">
        <f t="shared" si="2"/>
        <v>0</v>
      </c>
      <c r="AS58" s="16" t="b">
        <f t="shared" si="3"/>
        <v>0</v>
      </c>
      <c r="AT58" s="16" t="b">
        <f t="shared" si="4"/>
        <v>0</v>
      </c>
      <c r="AU58" s="16" t="b">
        <f t="shared" si="5"/>
        <v>0</v>
      </c>
      <c r="BA58" s="290">
        <v>13</v>
      </c>
      <c r="BB58" s="291">
        <v>80</v>
      </c>
      <c r="BC58" s="292">
        <v>0.11</v>
      </c>
      <c r="BD58" s="293">
        <v>0.17</v>
      </c>
      <c r="BE58" s="302"/>
      <c r="BF58" s="302"/>
      <c r="BK58" s="18"/>
      <c r="BP58"/>
      <c r="BV58" s="8"/>
      <c r="BY58" s="23" t="str">
        <f t="shared" si="11"/>
        <v/>
      </c>
    </row>
    <row r="59" spans="7:131" ht="15.95" customHeight="1">
      <c r="X59" s="38"/>
      <c r="AA59" s="46"/>
      <c r="AD59" s="131">
        <v>58</v>
      </c>
      <c r="AE59" s="262">
        <v>1</v>
      </c>
      <c r="AF59" s="262">
        <v>2</v>
      </c>
      <c r="AG59" s="262">
        <v>4</v>
      </c>
      <c r="AH59" s="263" t="s">
        <v>1558</v>
      </c>
      <c r="AI59" s="267">
        <v>0.5</v>
      </c>
      <c r="AJ59" s="263">
        <v>0.495</v>
      </c>
      <c r="AK59" s="263">
        <v>4</v>
      </c>
      <c r="AL59" s="85">
        <v>14</v>
      </c>
      <c r="AM59" s="269">
        <v>0.875</v>
      </c>
      <c r="AN59" s="263">
        <v>3.5</v>
      </c>
      <c r="AO59" s="265">
        <v>0.59842519685039375</v>
      </c>
      <c r="AP59" s="35">
        <f t="shared" si="0"/>
        <v>58</v>
      </c>
      <c r="AQ59" s="16" t="b">
        <f t="shared" si="1"/>
        <v>0</v>
      </c>
      <c r="AR59" s="16" t="b">
        <f t="shared" si="2"/>
        <v>0</v>
      </c>
      <c r="AS59" s="16">
        <f t="shared" si="3"/>
        <v>58</v>
      </c>
      <c r="AT59" s="16" t="b">
        <f t="shared" si="4"/>
        <v>0</v>
      </c>
      <c r="AU59" s="16" t="b">
        <f t="shared" si="5"/>
        <v>0</v>
      </c>
      <c r="BA59" s="290">
        <v>14</v>
      </c>
      <c r="BB59" s="291">
        <v>70</v>
      </c>
      <c r="BC59" s="292">
        <v>0.11</v>
      </c>
      <c r="BD59" s="293">
        <v>0.17</v>
      </c>
      <c r="BE59" s="302"/>
      <c r="BF59" s="302"/>
      <c r="BI59" s="21" t="s">
        <v>47</v>
      </c>
      <c r="BP59"/>
      <c r="BV59" s="8"/>
      <c r="BY59" s="23" t="str">
        <f t="shared" si="11"/>
        <v/>
      </c>
    </row>
    <row r="60" spans="7:131" ht="15.95" customHeight="1">
      <c r="I60" s="5" t="str">
        <f t="shared" ref="I60:I66" si="16">LOOKUP(H$27,J$2:AB$2,J60:AB60)</f>
        <v>D = thread diameter (Inch)</v>
      </c>
      <c r="J60" s="5" t="s">
        <v>1463</v>
      </c>
      <c r="K60" s="5" t="s">
        <v>1475</v>
      </c>
      <c r="L60" s="5" t="s">
        <v>1487</v>
      </c>
      <c r="M60" s="5" t="s">
        <v>334</v>
      </c>
      <c r="N60" s="5" t="s">
        <v>707</v>
      </c>
      <c r="O60" s="5" t="s">
        <v>1274</v>
      </c>
      <c r="P60" s="5" t="s">
        <v>349</v>
      </c>
      <c r="Q60" s="5" t="s">
        <v>214</v>
      </c>
      <c r="R60" s="5" t="s">
        <v>105</v>
      </c>
      <c r="S60" s="5" t="s">
        <v>1266</v>
      </c>
      <c r="T60" s="5" t="s">
        <v>481</v>
      </c>
      <c r="U60" s="5" t="s">
        <v>523</v>
      </c>
      <c r="V60" s="5" t="s">
        <v>322</v>
      </c>
      <c r="W60" s="5" t="s">
        <v>558</v>
      </c>
      <c r="X60" s="38" t="s">
        <v>7</v>
      </c>
      <c r="Y60" s="43" t="s">
        <v>1007</v>
      </c>
      <c r="Z60" s="5" t="s">
        <v>1008</v>
      </c>
      <c r="AA60" s="46" t="s">
        <v>1009</v>
      </c>
      <c r="AB60" s="5" t="s">
        <v>1053</v>
      </c>
      <c r="AD60" s="131">
        <v>59</v>
      </c>
      <c r="AE60" s="262">
        <v>1</v>
      </c>
      <c r="AF60" s="262">
        <v>2</v>
      </c>
      <c r="AG60" s="262">
        <v>4</v>
      </c>
      <c r="AH60" s="263" t="s">
        <v>1559</v>
      </c>
      <c r="AI60" s="263">
        <v>0.625</v>
      </c>
      <c r="AJ60" s="267">
        <v>0.62</v>
      </c>
      <c r="AK60" s="263">
        <v>4</v>
      </c>
      <c r="AL60" s="85">
        <v>11.5</v>
      </c>
      <c r="AM60" s="263">
        <v>1.125</v>
      </c>
      <c r="AN60" s="263">
        <v>4</v>
      </c>
      <c r="AO60" s="265">
        <v>0.78740157480314965</v>
      </c>
      <c r="AP60" s="35">
        <f t="shared" si="0"/>
        <v>59</v>
      </c>
      <c r="AQ60" s="16" t="b">
        <f t="shared" si="1"/>
        <v>0</v>
      </c>
      <c r="AR60" s="16" t="b">
        <f t="shared" si="2"/>
        <v>0</v>
      </c>
      <c r="AS60" s="16">
        <f t="shared" si="3"/>
        <v>59</v>
      </c>
      <c r="AT60" s="16" t="b">
        <f t="shared" si="4"/>
        <v>0</v>
      </c>
      <c r="AU60" s="16" t="b">
        <f t="shared" si="5"/>
        <v>0</v>
      </c>
      <c r="BA60" s="290">
        <v>15</v>
      </c>
      <c r="BB60" s="291">
        <v>60</v>
      </c>
      <c r="BC60" s="292">
        <v>0.1</v>
      </c>
      <c r="BD60" s="293">
        <v>0.15</v>
      </c>
      <c r="BE60" s="302"/>
      <c r="BF60" s="302"/>
      <c r="BH60" s="429" t="s">
        <v>44</v>
      </c>
      <c r="BI60" s="58">
        <f>(C11+C12+BL6/4)*60/200</f>
        <v>0.27468749999999997</v>
      </c>
      <c r="BO60" s="14"/>
      <c r="BP60" s="14"/>
      <c r="BQ60" s="14"/>
      <c r="BR60" s="14"/>
      <c r="BS60" s="14"/>
      <c r="BV60" s="8">
        <v>20</v>
      </c>
      <c r="BW60" s="54" t="str">
        <f>LOOKUP(BT$54,BX$2:CK$2,BX60:CK60)</f>
        <v/>
      </c>
      <c r="BY60" s="23" t="str">
        <f t="shared" si="11"/>
        <v/>
      </c>
      <c r="CB60" s="23" t="str">
        <f>CA42</f>
        <v>END1</v>
      </c>
      <c r="CD60" s="23" t="str">
        <f>CD30</f>
        <v>#2=#2+1</v>
      </c>
      <c r="CF60" s="23" t="str">
        <f>CE33</f>
        <v>G00 G40 X0. Y-0.1563</v>
      </c>
      <c r="CJ60" s="23" t="str">
        <f>CF54</f>
        <v>G03 X0.191 Y0.1905 Z0.0156 I0.0005 J0.1905</v>
      </c>
    </row>
    <row r="61" spans="7:131" ht="15.95" customHeight="1">
      <c r="I61" s="5" t="str">
        <f t="shared" si="16"/>
        <v>P = pitch (mm)</v>
      </c>
      <c r="J61" s="5" t="s">
        <v>710</v>
      </c>
      <c r="K61" s="5" t="s">
        <v>1386</v>
      </c>
      <c r="L61" s="5" t="s">
        <v>470</v>
      </c>
      <c r="M61" s="5" t="s">
        <v>760</v>
      </c>
      <c r="N61" s="5" t="s">
        <v>708</v>
      </c>
      <c r="O61" s="5" t="s">
        <v>1275</v>
      </c>
      <c r="P61" s="5" t="s">
        <v>350</v>
      </c>
      <c r="Q61" s="5" t="s">
        <v>215</v>
      </c>
      <c r="R61" s="5" t="s">
        <v>106</v>
      </c>
      <c r="S61" s="5" t="s">
        <v>1267</v>
      </c>
      <c r="T61" s="5" t="s">
        <v>375</v>
      </c>
      <c r="U61" s="5" t="s">
        <v>524</v>
      </c>
      <c r="V61" s="5" t="s">
        <v>311</v>
      </c>
      <c r="W61" s="5" t="s">
        <v>760</v>
      </c>
      <c r="X61" s="38" t="s">
        <v>8</v>
      </c>
      <c r="Y61" s="43" t="s">
        <v>1010</v>
      </c>
      <c r="Z61" s="5" t="s">
        <v>1011</v>
      </c>
      <c r="AA61" s="46" t="s">
        <v>1012</v>
      </c>
      <c r="AB61" s="5" t="s">
        <v>358</v>
      </c>
      <c r="AD61" s="131">
        <v>60</v>
      </c>
      <c r="AE61" s="262">
        <v>1</v>
      </c>
      <c r="AF61" s="262">
        <v>2</v>
      </c>
      <c r="AG61" s="262">
        <v>4</v>
      </c>
      <c r="AH61" s="263" t="s">
        <v>1560</v>
      </c>
      <c r="AI61" s="267">
        <v>0.75</v>
      </c>
      <c r="AJ61" s="263">
        <v>0.745</v>
      </c>
      <c r="AK61" s="263">
        <v>4</v>
      </c>
      <c r="AL61" s="85">
        <v>8</v>
      </c>
      <c r="AM61" s="267">
        <v>1.5</v>
      </c>
      <c r="AN61" s="263">
        <v>5</v>
      </c>
      <c r="AO61" s="265">
        <v>1.0236220472440944</v>
      </c>
      <c r="AP61" s="35">
        <f t="shared" si="0"/>
        <v>60</v>
      </c>
      <c r="AQ61" s="16" t="b">
        <f t="shared" si="1"/>
        <v>0</v>
      </c>
      <c r="AR61" s="16" t="b">
        <f t="shared" si="2"/>
        <v>0</v>
      </c>
      <c r="AS61" s="16">
        <f t="shared" si="3"/>
        <v>60</v>
      </c>
      <c r="AT61" s="16" t="b">
        <f t="shared" si="4"/>
        <v>0</v>
      </c>
      <c r="AU61" s="16" t="b">
        <f t="shared" si="5"/>
        <v>0</v>
      </c>
      <c r="BA61" s="290">
        <v>16</v>
      </c>
      <c r="BB61" s="291">
        <v>50</v>
      </c>
      <c r="BC61" s="292">
        <v>0.1</v>
      </c>
      <c r="BD61" s="293">
        <v>0.15</v>
      </c>
      <c r="BE61" s="302"/>
      <c r="BF61" s="302"/>
      <c r="BH61" s="430"/>
      <c r="BI61" s="65">
        <f>(C11+C12-(5*BL6/4))*60/200</f>
        <v>0.24656249999999999</v>
      </c>
      <c r="BO61" s="310" t="s">
        <v>1013</v>
      </c>
      <c r="BP61" s="331">
        <f>ROUND((BP50)-((IF(D22&gt;0,D22,C22))/2),5)</f>
        <v>1.38E-2</v>
      </c>
      <c r="BQ61" s="283"/>
      <c r="BR61" s="7"/>
      <c r="BS61" s="7"/>
      <c r="BV61" s="8"/>
      <c r="BY61" s="23" t="str">
        <f t="shared" si="11"/>
        <v/>
      </c>
    </row>
    <row r="62" spans="7:131" ht="15.95" customHeight="1">
      <c r="I62" s="5" t="str">
        <f t="shared" si="16"/>
        <v>P = pitch (TPI)</v>
      </c>
      <c r="J62" s="5" t="s">
        <v>711</v>
      </c>
      <c r="K62" s="5" t="s">
        <v>1426</v>
      </c>
      <c r="L62" s="5" t="s">
        <v>471</v>
      </c>
      <c r="M62" s="5" t="s">
        <v>335</v>
      </c>
      <c r="N62" s="5" t="s">
        <v>709</v>
      </c>
      <c r="O62" s="5" t="s">
        <v>1276</v>
      </c>
      <c r="P62" s="5" t="s">
        <v>351</v>
      </c>
      <c r="Q62" s="5" t="s">
        <v>486</v>
      </c>
      <c r="R62" s="5" t="s">
        <v>749</v>
      </c>
      <c r="S62" s="5" t="s">
        <v>1268</v>
      </c>
      <c r="T62" s="5" t="s">
        <v>1090</v>
      </c>
      <c r="U62" s="5" t="s">
        <v>531</v>
      </c>
      <c r="V62" s="5" t="s">
        <v>323</v>
      </c>
      <c r="W62" s="5" t="s">
        <v>749</v>
      </c>
      <c r="X62" s="38" t="s">
        <v>415</v>
      </c>
      <c r="Y62" s="43" t="s">
        <v>1014</v>
      </c>
      <c r="Z62" s="5" t="s">
        <v>1015</v>
      </c>
      <c r="AA62" s="46" t="s">
        <v>1016</v>
      </c>
      <c r="AB62" s="5" t="s">
        <v>359</v>
      </c>
      <c r="AD62" s="131">
        <v>61</v>
      </c>
      <c r="AE62" s="193"/>
      <c r="AF62" s="193"/>
      <c r="AG62" s="193"/>
      <c r="AH62" s="195"/>
      <c r="AI62" s="155"/>
      <c r="AJ62" s="177"/>
      <c r="AK62" s="128"/>
      <c r="AL62" s="129"/>
      <c r="AM62" s="194"/>
      <c r="AN62" s="178"/>
      <c r="AO62" s="130"/>
      <c r="AP62" s="35" t="b">
        <f t="shared" si="0"/>
        <v>0</v>
      </c>
      <c r="AQ62" s="16">
        <f t="shared" si="1"/>
        <v>61</v>
      </c>
      <c r="AR62" s="16" t="b">
        <f t="shared" si="2"/>
        <v>0</v>
      </c>
      <c r="AS62" s="16" t="b">
        <f t="shared" si="3"/>
        <v>0</v>
      </c>
      <c r="AT62" s="16" t="b">
        <f t="shared" si="4"/>
        <v>0</v>
      </c>
      <c r="AU62" s="16" t="b">
        <f t="shared" si="5"/>
        <v>0</v>
      </c>
      <c r="BA62" s="290">
        <v>17</v>
      </c>
      <c r="BB62" s="291">
        <v>40</v>
      </c>
      <c r="BC62" s="292">
        <v>0.06</v>
      </c>
      <c r="BD62" s="293">
        <v>0.11</v>
      </c>
      <c r="BE62" s="302"/>
      <c r="BF62" s="302"/>
      <c r="BH62" s="430"/>
      <c r="BI62" s="65">
        <f>(188.5*C9)/(4*0.5*C29)</f>
        <v>1.8601973684210527</v>
      </c>
      <c r="BJ62" s="7"/>
      <c r="BK62" s="16"/>
      <c r="BO62" s="310" t="s">
        <v>986</v>
      </c>
      <c r="BP62" s="311">
        <f>ROUND(((BP50-BP61)+(BP49/2))/2,5)</f>
        <v>0.16578000000000001</v>
      </c>
      <c r="BQ62" s="312"/>
      <c r="BR62" s="16"/>
      <c r="BS62" s="19"/>
      <c r="BY62" s="23" t="str">
        <f t="shared" si="11"/>
        <v/>
      </c>
    </row>
    <row r="63" spans="7:131" ht="15.95" customHeight="1">
      <c r="I63" s="5" t="str">
        <f t="shared" si="16"/>
        <v>L = thread length (Inch)</v>
      </c>
      <c r="J63" s="5" t="s">
        <v>1464</v>
      </c>
      <c r="K63" s="5" t="s">
        <v>1476</v>
      </c>
      <c r="L63" s="5" t="s">
        <v>1488</v>
      </c>
      <c r="M63" s="5" t="s">
        <v>336</v>
      </c>
      <c r="N63" s="5" t="s">
        <v>1357</v>
      </c>
      <c r="O63" s="5" t="s">
        <v>559</v>
      </c>
      <c r="P63" s="5" t="s">
        <v>352</v>
      </c>
      <c r="Q63" s="5" t="s">
        <v>487</v>
      </c>
      <c r="R63" s="5" t="s">
        <v>107</v>
      </c>
      <c r="S63" s="5" t="s">
        <v>1269</v>
      </c>
      <c r="T63" s="5" t="s">
        <v>1130</v>
      </c>
      <c r="U63" s="5" t="s">
        <v>532</v>
      </c>
      <c r="V63" s="5" t="s">
        <v>324</v>
      </c>
      <c r="W63" s="5" t="s">
        <v>777</v>
      </c>
      <c r="X63" s="38" t="s">
        <v>416</v>
      </c>
      <c r="Y63" s="43" t="s">
        <v>1019</v>
      </c>
      <c r="Z63" s="5" t="s">
        <v>1020</v>
      </c>
      <c r="AA63" s="46" t="s">
        <v>1021</v>
      </c>
      <c r="AB63" s="5" t="s">
        <v>360</v>
      </c>
      <c r="AD63" s="131">
        <v>62</v>
      </c>
      <c r="AE63" s="193"/>
      <c r="AF63" s="193"/>
      <c r="AG63" s="193"/>
      <c r="AH63" s="195"/>
      <c r="AI63" s="155"/>
      <c r="AJ63" s="177"/>
      <c r="AK63" s="128"/>
      <c r="AL63" s="129"/>
      <c r="AM63" s="194"/>
      <c r="AN63" s="178"/>
      <c r="AO63" s="130"/>
      <c r="AP63" s="35" t="b">
        <f t="shared" si="0"/>
        <v>0</v>
      </c>
      <c r="AQ63" s="16">
        <f t="shared" si="1"/>
        <v>62</v>
      </c>
      <c r="AR63" s="16" t="b">
        <f t="shared" si="2"/>
        <v>0</v>
      </c>
      <c r="AS63" s="16" t="b">
        <f t="shared" si="3"/>
        <v>0</v>
      </c>
      <c r="AT63" s="16" t="b">
        <f t="shared" si="4"/>
        <v>0</v>
      </c>
      <c r="AU63" s="16" t="b">
        <f t="shared" si="5"/>
        <v>0</v>
      </c>
      <c r="BA63" s="290">
        <v>18</v>
      </c>
      <c r="BB63" s="291">
        <v>30</v>
      </c>
      <c r="BC63" s="292">
        <v>0.03</v>
      </c>
      <c r="BD63" s="293">
        <v>7.0000000000000007E-2</v>
      </c>
      <c r="BE63" s="302"/>
      <c r="BF63" s="302"/>
      <c r="BH63" s="430"/>
      <c r="BI63" s="65">
        <f>188.5*C9/C29</f>
        <v>3.7203947368421053</v>
      </c>
      <c r="BJ63" s="7"/>
      <c r="BK63" s="18"/>
      <c r="BO63" s="310" t="s">
        <v>996</v>
      </c>
      <c r="BP63" s="311">
        <f>ROUND(BL6/2,5)</f>
        <v>3.125E-2</v>
      </c>
      <c r="BQ63" s="312"/>
      <c r="BR63" s="16"/>
      <c r="BS63" s="19"/>
      <c r="BV63" s="8">
        <v>21</v>
      </c>
      <c r="BW63" s="54" t="str">
        <f>LOOKUP(BT$54,BX$2:CK$2,BX63:CK63)</f>
        <v/>
      </c>
      <c r="BY63" s="23" t="str">
        <f t="shared" si="11"/>
        <v/>
      </c>
      <c r="CB63" s="23" t="str">
        <f>CA45</f>
        <v>G00 Z0.525</v>
      </c>
      <c r="CD63" s="23" t="str">
        <f>CONCATENATE(EA63)</f>
        <v>END2</v>
      </c>
      <c r="CF63" s="23" t="str">
        <f>CE36</f>
        <v>G00 Z0.8219</v>
      </c>
      <c r="CJ63" s="23" t="str">
        <f>CF57</f>
        <v>G03 X-0.191 Y0.1563 Z0.0156 R0,1594</v>
      </c>
      <c r="DZ63" s="26">
        <v>21</v>
      </c>
      <c r="EA63" s="14" t="s">
        <v>1418</v>
      </c>
    </row>
    <row r="64" spans="7:131" ht="15.95" customHeight="1">
      <c r="I64" s="5" t="str">
        <f t="shared" si="16"/>
        <v>S = safety distance (Inch)</v>
      </c>
      <c r="J64" s="5" t="s">
        <v>1465</v>
      </c>
      <c r="K64" s="5" t="s">
        <v>1477</v>
      </c>
      <c r="L64" s="5" t="s">
        <v>1489</v>
      </c>
      <c r="M64" s="5" t="s">
        <v>338</v>
      </c>
      <c r="N64" s="5" t="s">
        <v>750</v>
      </c>
      <c r="O64" s="5" t="s">
        <v>560</v>
      </c>
      <c r="P64" s="5" t="s">
        <v>353</v>
      </c>
      <c r="Q64" s="5" t="s">
        <v>488</v>
      </c>
      <c r="R64" s="5" t="s">
        <v>108</v>
      </c>
      <c r="S64" s="5" t="s">
        <v>33</v>
      </c>
      <c r="T64" s="5" t="s">
        <v>1131</v>
      </c>
      <c r="U64" s="5" t="s">
        <v>782</v>
      </c>
      <c r="V64" s="5" t="s">
        <v>325</v>
      </c>
      <c r="W64" s="5" t="s">
        <v>1225</v>
      </c>
      <c r="X64" s="38" t="s">
        <v>417</v>
      </c>
      <c r="Y64" s="43" t="s">
        <v>1024</v>
      </c>
      <c r="Z64" s="5" t="s">
        <v>1025</v>
      </c>
      <c r="AA64" s="46" t="s">
        <v>1026</v>
      </c>
      <c r="AB64" s="5" t="s">
        <v>339</v>
      </c>
      <c r="AD64" s="131">
        <v>63</v>
      </c>
      <c r="AE64" s="193"/>
      <c r="AF64" s="193"/>
      <c r="AG64" s="193"/>
      <c r="AH64" s="195"/>
      <c r="AI64" s="155"/>
      <c r="AJ64" s="177"/>
      <c r="AK64" s="128"/>
      <c r="AL64" s="129"/>
      <c r="AM64" s="194"/>
      <c r="AN64" s="178"/>
      <c r="AO64" s="130"/>
      <c r="AP64" s="35" t="b">
        <f t="shared" si="0"/>
        <v>0</v>
      </c>
      <c r="AQ64" s="16">
        <f t="shared" si="1"/>
        <v>63</v>
      </c>
      <c r="AR64" s="16" t="b">
        <f t="shared" si="2"/>
        <v>0</v>
      </c>
      <c r="AS64" s="16" t="b">
        <f t="shared" si="3"/>
        <v>0</v>
      </c>
      <c r="AT64" s="16" t="b">
        <f t="shared" si="4"/>
        <v>0</v>
      </c>
      <c r="AU64" s="16" t="b">
        <f t="shared" si="5"/>
        <v>0</v>
      </c>
      <c r="BA64" s="290">
        <v>19</v>
      </c>
      <c r="BB64" s="291">
        <v>90</v>
      </c>
      <c r="BC64" s="292">
        <v>0.05</v>
      </c>
      <c r="BD64" s="293">
        <v>7.0000000000000007E-2</v>
      </c>
      <c r="BE64" s="302"/>
      <c r="BF64" s="302"/>
      <c r="BH64" s="430"/>
      <c r="BI64" s="65">
        <f>(188.5*C9)/(4*C29)</f>
        <v>0.93009868421052633</v>
      </c>
      <c r="BJ64" s="7"/>
      <c r="BK64" s="18"/>
      <c r="BO64" s="313" t="s">
        <v>1141</v>
      </c>
      <c r="BP64" s="332">
        <f>(-BP50+BP61)</f>
        <v>-0.14249999999999999</v>
      </c>
      <c r="BQ64" s="298"/>
      <c r="BR64" s="16"/>
      <c r="BS64" s="16"/>
      <c r="BY64" s="23" t="str">
        <f t="shared" si="11"/>
        <v/>
      </c>
    </row>
    <row r="65" spans="9:181" ht="15.95" customHeight="1">
      <c r="I65" s="5" t="str">
        <f t="shared" si="16"/>
        <v>ds = chamfering diameter (Inch)</v>
      </c>
      <c r="J65" s="191" t="s">
        <v>1466</v>
      </c>
      <c r="K65" s="191" t="s">
        <v>1478</v>
      </c>
      <c r="L65" s="191" t="s">
        <v>1490</v>
      </c>
      <c r="X65" s="38"/>
      <c r="AA65" s="46"/>
      <c r="AD65" s="131">
        <v>64</v>
      </c>
      <c r="AE65" s="193"/>
      <c r="AF65" s="193"/>
      <c r="AG65" s="193"/>
      <c r="AH65" s="195"/>
      <c r="AI65" s="155"/>
      <c r="AJ65" s="177"/>
      <c r="AK65" s="128"/>
      <c r="AL65" s="129"/>
      <c r="AM65" s="194"/>
      <c r="AN65" s="178"/>
      <c r="AO65" s="130"/>
      <c r="AP65" s="35" t="b">
        <f t="shared" si="0"/>
        <v>0</v>
      </c>
      <c r="AQ65" s="16">
        <f t="shared" si="1"/>
        <v>64</v>
      </c>
      <c r="AR65" s="16" t="b">
        <f t="shared" si="2"/>
        <v>0</v>
      </c>
      <c r="AS65" s="16" t="b">
        <f t="shared" si="3"/>
        <v>0</v>
      </c>
      <c r="AT65" s="16" t="b">
        <f t="shared" si="4"/>
        <v>0</v>
      </c>
      <c r="AU65" s="16" t="b">
        <f t="shared" si="5"/>
        <v>0</v>
      </c>
      <c r="BA65" s="290">
        <v>20</v>
      </c>
      <c r="BB65" s="291">
        <v>50</v>
      </c>
      <c r="BC65" s="292">
        <v>0.04</v>
      </c>
      <c r="BD65" s="293">
        <v>0.06</v>
      </c>
      <c r="BE65" s="302"/>
      <c r="BF65" s="302"/>
      <c r="BH65" s="431"/>
      <c r="BI65" s="233">
        <f>ROUND((BI60+BI61+BI62+BI63+BI64),2)</f>
        <v>7.03</v>
      </c>
      <c r="BJ65" s="7"/>
      <c r="BK65" s="18"/>
      <c r="BO65" s="313" t="s">
        <v>1142</v>
      </c>
      <c r="BP65" s="314">
        <f>IF(D18&gt;0,(D18-(C9+0.012))/2+(IF(D23&gt;0,D23,C23))+(ROUND(((C9+0.012-(IF(D22&gt;0,D22,C22)))/2+(((C9-BL6)/2)*0.36397)),5))+C12,(IF(D23&gt;0,D23,C23))+(ROUND(((C9+0.012-(IF(D22&gt;0,D22,C22)))/2+(((C9-BL6)/2)*0.36397)),5))+C12)</f>
        <v>1.00787</v>
      </c>
      <c r="BQ65" s="315">
        <f>(IF(D23&gt;0,D23,C23))+(ROUND(((C9+0.3-(IF(D22&gt;0,D22,C22)))/2+(((C9-BL6)/2)*0.36397)),3))+C12</f>
        <v>1.1519999999999999</v>
      </c>
      <c r="BR65" s="237"/>
      <c r="BS65" s="14"/>
      <c r="BY65" s="23" t="str">
        <f t="shared" si="11"/>
        <v/>
      </c>
    </row>
    <row r="66" spans="9:181" ht="15.95" customHeight="1">
      <c r="I66" s="5" t="str">
        <f t="shared" si="16"/>
        <v>Ls = drilling depth (Inch)</v>
      </c>
      <c r="J66" s="191" t="s">
        <v>1467</v>
      </c>
      <c r="K66" s="191" t="s">
        <v>1479</v>
      </c>
      <c r="L66" s="191" t="s">
        <v>1491</v>
      </c>
      <c r="X66" s="38"/>
      <c r="AA66" s="46"/>
      <c r="AD66" s="131">
        <v>65</v>
      </c>
      <c r="AE66" s="193"/>
      <c r="AF66" s="193"/>
      <c r="AG66" s="193"/>
      <c r="AH66" s="195"/>
      <c r="AI66" s="155"/>
      <c r="AJ66" s="177"/>
      <c r="AK66" s="128"/>
      <c r="AL66" s="129"/>
      <c r="AM66" s="194"/>
      <c r="AN66" s="178"/>
      <c r="AO66" s="130"/>
      <c r="AP66" s="35" t="b">
        <f t="shared" ref="AP66:AP129" si="17">IF(BP$37&lt;=AE66,AD66)</f>
        <v>0</v>
      </c>
      <c r="AQ66" s="16">
        <f t="shared" ref="AQ66:AQ129" si="18">IF(C$9&gt;=AO66,AD66)</f>
        <v>65</v>
      </c>
      <c r="AR66" s="16" t="b">
        <f t="shared" ref="AR66:AR129" si="19">IF(C$10=AL66,AD66)</f>
        <v>0</v>
      </c>
      <c r="AS66" s="16" t="b">
        <f t="shared" ref="AS66:AS129" si="20">IF(C$11&lt;=AM66,AD66)</f>
        <v>0</v>
      </c>
      <c r="AT66" s="16" t="b">
        <f t="shared" ref="AT66:AT129" si="21">IF(AG66=BL$10,AD66)</f>
        <v>0</v>
      </c>
      <c r="AU66" s="16" t="b">
        <f t="shared" ref="AU66:AU129" si="22">IF(AP66=FALSE,FALSE,IF(AQ66=FALSE,FALSE,IF(AR66=FALSE,FALSE,IF(AS66=FALSE,FALSE,IF(AT66=FALSE,FALSE,AD66)))))</f>
        <v>0</v>
      </c>
      <c r="BA66" s="290">
        <v>21</v>
      </c>
      <c r="BB66" s="291">
        <v>30</v>
      </c>
      <c r="BC66" s="292">
        <v>0.02</v>
      </c>
      <c r="BD66" s="293">
        <v>0.05</v>
      </c>
      <c r="BE66" s="302"/>
      <c r="BF66" s="302"/>
      <c r="BH66" s="302"/>
      <c r="BI66" s="302"/>
      <c r="BO66" s="313" t="s">
        <v>1072</v>
      </c>
      <c r="BP66" s="316">
        <f>ROUND(IF(D18&gt;0,(D18-(C9+0.012))/2+(BL6/3+((IF(D23&gt;0,D23,C23))-C11)),(BL6/3+((IF(D23&gt;0,D23,C23))-C11))),3)</f>
        <v>2.1000000000000001E-2</v>
      </c>
      <c r="BQ66" s="317">
        <f>ROUND(BL6/3+((IF(D23&gt;0,D23,C23))-C11),3)</f>
        <v>2.1000000000000001E-2</v>
      </c>
      <c r="BV66" s="8">
        <v>22</v>
      </c>
      <c r="BW66" s="54" t="str">
        <f>LOOKUP(BT$54,BX$2:CK$2,BX66:CK66)</f>
        <v/>
      </c>
      <c r="BY66" s="23" t="str">
        <f t="shared" si="11"/>
        <v/>
      </c>
      <c r="CB66" s="23" t="str">
        <f>CA48</f>
        <v>G90 G49 G00 Z8. M5</v>
      </c>
      <c r="CD66" s="23" t="str">
        <f>BZ39</f>
        <v>G03 X-0.1891 Y0.1563 Z0.0156 R0,1591</v>
      </c>
      <c r="CF66" s="23" t="str">
        <f>CE39</f>
        <v>G90 G49 G00 Z8. M5</v>
      </c>
      <c r="CJ66" s="23" t="str">
        <f>CF60</f>
        <v>G00 G40 X0. Y-0.1563</v>
      </c>
    </row>
    <row r="67" spans="9:181" ht="15.95" customHeight="1">
      <c r="X67" s="38"/>
      <c r="AA67" s="46"/>
      <c r="AD67" s="131">
        <v>66</v>
      </c>
      <c r="AE67" s="193"/>
      <c r="AF67" s="193"/>
      <c r="AG67" s="193"/>
      <c r="AH67" s="195"/>
      <c r="AI67" s="155"/>
      <c r="AJ67" s="177"/>
      <c r="AK67" s="128"/>
      <c r="AL67" s="129"/>
      <c r="AM67" s="194"/>
      <c r="AN67" s="178"/>
      <c r="AO67" s="130"/>
      <c r="AP67" s="35" t="b">
        <f t="shared" si="17"/>
        <v>0</v>
      </c>
      <c r="AQ67" s="16">
        <f t="shared" si="18"/>
        <v>66</v>
      </c>
      <c r="AR67" s="16" t="b">
        <f t="shared" si="19"/>
        <v>0</v>
      </c>
      <c r="AS67" s="16" t="b">
        <f t="shared" si="20"/>
        <v>0</v>
      </c>
      <c r="AT67" s="16" t="b">
        <f t="shared" si="21"/>
        <v>0</v>
      </c>
      <c r="AU67" s="16" t="b">
        <f t="shared" si="22"/>
        <v>0</v>
      </c>
      <c r="BA67" s="290">
        <v>22</v>
      </c>
      <c r="BB67" s="291">
        <v>180</v>
      </c>
      <c r="BC67" s="292">
        <v>0.15</v>
      </c>
      <c r="BD67" s="293">
        <v>0.18</v>
      </c>
      <c r="BE67" s="302"/>
      <c r="BF67" s="302"/>
      <c r="BH67" s="309" t="s">
        <v>45</v>
      </c>
      <c r="BI67" s="329">
        <f>ROUND((((C9+0.012-(IF(D22&gt;0,D22,C22)))/2+(BL6*0.5))*60)/(0.8*C30),2)</f>
        <v>1.34</v>
      </c>
      <c r="BJ67" s="234"/>
      <c r="BK67" s="18"/>
      <c r="BO67" s="283"/>
      <c r="BP67" s="283"/>
      <c r="BQ67" s="283"/>
      <c r="BR67" s="7"/>
      <c r="BS67" s="7"/>
      <c r="BV67" s="8"/>
      <c r="BY67" s="23" t="str">
        <f t="shared" si="11"/>
        <v/>
      </c>
      <c r="DU67" s="26"/>
    </row>
    <row r="68" spans="9:181" ht="15.95" customHeight="1">
      <c r="I68" s="5" t="str">
        <f t="shared" ref="I68:I79" si="23">LOOKUP(H$27,J$2:AB$2,J68:AB68)</f>
        <v>d = cutter diameter (Inch)</v>
      </c>
      <c r="J68" s="5" t="s">
        <v>1468</v>
      </c>
      <c r="K68" s="5" t="s">
        <v>1480</v>
      </c>
      <c r="L68" s="5" t="s">
        <v>1492</v>
      </c>
      <c r="M68" s="5" t="s">
        <v>1069</v>
      </c>
      <c r="N68" s="5" t="s">
        <v>633</v>
      </c>
      <c r="O68" s="5" t="s">
        <v>561</v>
      </c>
      <c r="P68" s="5" t="s">
        <v>354</v>
      </c>
      <c r="Q68" s="5" t="s">
        <v>489</v>
      </c>
      <c r="R68" s="5" t="s">
        <v>109</v>
      </c>
      <c r="S68" s="5" t="s">
        <v>34</v>
      </c>
      <c r="T68" s="5" t="s">
        <v>1132</v>
      </c>
      <c r="U68" s="5" t="s">
        <v>783</v>
      </c>
      <c r="V68" s="5" t="s">
        <v>326</v>
      </c>
      <c r="W68" s="5" t="s">
        <v>746</v>
      </c>
      <c r="X68" s="38" t="s">
        <v>9</v>
      </c>
      <c r="Y68" s="5" t="s">
        <v>1144</v>
      </c>
      <c r="Z68" s="5" t="s">
        <v>1145</v>
      </c>
      <c r="AA68" s="46" t="s">
        <v>1146</v>
      </c>
      <c r="AB68" s="5" t="s">
        <v>340</v>
      </c>
      <c r="AD68" s="131">
        <v>67</v>
      </c>
      <c r="AE68" s="193"/>
      <c r="AF68" s="193"/>
      <c r="AG68" s="193"/>
      <c r="AH68" s="195"/>
      <c r="AI68" s="155"/>
      <c r="AJ68" s="177"/>
      <c r="AK68" s="128"/>
      <c r="AL68" s="129"/>
      <c r="AM68" s="194"/>
      <c r="AN68" s="178"/>
      <c r="AO68" s="130"/>
      <c r="AP68" s="35" t="b">
        <f t="shared" si="17"/>
        <v>0</v>
      </c>
      <c r="AQ68" s="16">
        <f t="shared" si="18"/>
        <v>67</v>
      </c>
      <c r="AR68" s="16" t="b">
        <f t="shared" si="19"/>
        <v>0</v>
      </c>
      <c r="AS68" s="16" t="b">
        <f t="shared" si="20"/>
        <v>0</v>
      </c>
      <c r="AT68" s="16" t="b">
        <f t="shared" si="21"/>
        <v>0</v>
      </c>
      <c r="AU68" s="16" t="b">
        <f t="shared" si="22"/>
        <v>0</v>
      </c>
      <c r="BA68" s="290">
        <v>23</v>
      </c>
      <c r="BB68" s="291">
        <v>140</v>
      </c>
      <c r="BC68" s="292">
        <v>0.15</v>
      </c>
      <c r="BD68" s="293">
        <v>0.18</v>
      </c>
      <c r="BE68" s="302"/>
      <c r="BF68" s="302"/>
      <c r="BH68" s="302"/>
      <c r="BI68" s="298"/>
      <c r="BJ68" s="234"/>
      <c r="BK68" s="18"/>
      <c r="BO68" s="16"/>
      <c r="BQ68" s="14"/>
      <c r="BR68" s="16"/>
      <c r="BS68" s="19"/>
      <c r="BY68" s="23" t="str">
        <f t="shared" si="11"/>
        <v/>
      </c>
      <c r="DU68" s="15"/>
    </row>
    <row r="69" spans="9:181" ht="15.95" customHeight="1">
      <c r="I69" s="5" t="str">
        <f t="shared" si="23"/>
        <v>l = length of cutting edge (Inch)</v>
      </c>
      <c r="J69" s="5" t="s">
        <v>1469</v>
      </c>
      <c r="K69" s="5" t="s">
        <v>1481</v>
      </c>
      <c r="L69" s="5" t="s">
        <v>1493</v>
      </c>
      <c r="M69" s="5" t="s">
        <v>237</v>
      </c>
      <c r="N69" s="5" t="s">
        <v>712</v>
      </c>
      <c r="O69" s="5" t="s">
        <v>562</v>
      </c>
      <c r="P69" s="5" t="s">
        <v>355</v>
      </c>
      <c r="Q69" s="5" t="s">
        <v>491</v>
      </c>
      <c r="R69" s="5" t="s">
        <v>110</v>
      </c>
      <c r="S69" s="5" t="s">
        <v>35</v>
      </c>
      <c r="T69" s="5" t="s">
        <v>1133</v>
      </c>
      <c r="U69" s="5" t="s">
        <v>784</v>
      </c>
      <c r="V69" s="5" t="s">
        <v>290</v>
      </c>
      <c r="W69" s="5" t="s">
        <v>1362</v>
      </c>
      <c r="X69" s="38" t="s">
        <v>10</v>
      </c>
      <c r="Y69" s="5" t="s">
        <v>1148</v>
      </c>
      <c r="Z69" s="5" t="s">
        <v>1149</v>
      </c>
      <c r="AA69" s="46" t="s">
        <v>1150</v>
      </c>
      <c r="AB69" s="5" t="s">
        <v>341</v>
      </c>
      <c r="AD69" s="131">
        <v>68</v>
      </c>
      <c r="AE69" s="193"/>
      <c r="AF69" s="193"/>
      <c r="AG69" s="193"/>
      <c r="AH69" s="195"/>
      <c r="AI69" s="155"/>
      <c r="AJ69" s="177"/>
      <c r="AK69" s="128"/>
      <c r="AL69" s="129"/>
      <c r="AM69" s="194"/>
      <c r="AN69" s="178"/>
      <c r="AO69" s="130"/>
      <c r="AP69" s="35" t="b">
        <f t="shared" si="17"/>
        <v>0</v>
      </c>
      <c r="AQ69" s="16">
        <f t="shared" si="18"/>
        <v>68</v>
      </c>
      <c r="AR69" s="16" t="b">
        <f t="shared" si="19"/>
        <v>0</v>
      </c>
      <c r="AS69" s="16" t="b">
        <f t="shared" si="20"/>
        <v>0</v>
      </c>
      <c r="AT69" s="16" t="b">
        <f t="shared" si="21"/>
        <v>0</v>
      </c>
      <c r="AU69" s="16" t="b">
        <f t="shared" si="22"/>
        <v>0</v>
      </c>
      <c r="BA69" s="290">
        <v>24</v>
      </c>
      <c r="BB69" s="291">
        <v>65</v>
      </c>
      <c r="BC69" s="292">
        <v>0.13</v>
      </c>
      <c r="BD69" s="293">
        <v>0.16</v>
      </c>
      <c r="BE69" s="302"/>
      <c r="BF69" s="302"/>
      <c r="BH69" s="309" t="s">
        <v>46</v>
      </c>
      <c r="BI69" s="329">
        <f>ROUND(BP65*60/FV9-((C11+C12+BL6/4)*60/5000),2)</f>
        <v>0.11</v>
      </c>
      <c r="BJ69" s="18"/>
      <c r="BK69" s="18"/>
      <c r="BO69" s="16"/>
      <c r="BQ69" s="14"/>
      <c r="BR69" s="16"/>
      <c r="BS69" s="19"/>
      <c r="BV69" s="8">
        <v>23</v>
      </c>
      <c r="BW69" s="54" t="str">
        <f>LOOKUP(BT$54,BX$2:CK$2,BX69:CK69)</f>
        <v/>
      </c>
      <c r="BY69" s="23" t="str">
        <f t="shared" si="11"/>
        <v/>
      </c>
      <c r="CB69" s="23" t="str">
        <f>CA51</f>
        <v>M30</v>
      </c>
      <c r="CD69" s="23" t="str">
        <f>BZ42</f>
        <v>G00 G40 X0. Y-0.1563</v>
      </c>
      <c r="CF69" s="23" t="str">
        <f>CE42</f>
        <v>M30</v>
      </c>
      <c r="CJ69" s="23" t="str">
        <f>CF63</f>
        <v>G00 Z0.8219</v>
      </c>
      <c r="DU69" s="15"/>
    </row>
    <row r="70" spans="9:181" ht="15.95" customHeight="1">
      <c r="I70" s="5" t="str">
        <f t="shared" si="23"/>
        <v>z = number of flutes</v>
      </c>
      <c r="J70" s="5" t="s">
        <v>1303</v>
      </c>
      <c r="K70" s="5" t="s">
        <v>1302</v>
      </c>
      <c r="L70" s="5" t="s">
        <v>1151</v>
      </c>
      <c r="M70" s="5" t="s">
        <v>238</v>
      </c>
      <c r="N70" s="5" t="s">
        <v>719</v>
      </c>
      <c r="O70" s="5" t="s">
        <v>563</v>
      </c>
      <c r="P70" s="5" t="s">
        <v>1071</v>
      </c>
      <c r="Q70" s="5" t="s">
        <v>492</v>
      </c>
      <c r="R70" s="5" t="s">
        <v>111</v>
      </c>
      <c r="S70" s="5" t="s">
        <v>36</v>
      </c>
      <c r="T70" s="5" t="s">
        <v>482</v>
      </c>
      <c r="U70" s="5" t="s">
        <v>785</v>
      </c>
      <c r="V70" s="5" t="s">
        <v>291</v>
      </c>
      <c r="W70" s="5" t="s">
        <v>768</v>
      </c>
      <c r="X70" s="38" t="s">
        <v>11</v>
      </c>
      <c r="Y70" s="5" t="s">
        <v>1152</v>
      </c>
      <c r="Z70" s="5" t="s">
        <v>1153</v>
      </c>
      <c r="AA70" s="46" t="s">
        <v>1154</v>
      </c>
      <c r="AB70" s="5" t="s">
        <v>342</v>
      </c>
      <c r="AD70" s="131">
        <v>69</v>
      </c>
      <c r="AE70" s="193"/>
      <c r="AF70" s="193"/>
      <c r="AG70" s="193"/>
      <c r="AH70" s="195"/>
      <c r="AI70" s="155"/>
      <c r="AJ70" s="177"/>
      <c r="AK70" s="128"/>
      <c r="AL70" s="129"/>
      <c r="AM70" s="194"/>
      <c r="AN70" s="178"/>
      <c r="AO70" s="130"/>
      <c r="AP70" s="35" t="b">
        <f t="shared" si="17"/>
        <v>0</v>
      </c>
      <c r="AQ70" s="16">
        <f t="shared" si="18"/>
        <v>69</v>
      </c>
      <c r="AR70" s="16" t="b">
        <f t="shared" si="19"/>
        <v>0</v>
      </c>
      <c r="AS70" s="16" t="b">
        <f t="shared" si="20"/>
        <v>0</v>
      </c>
      <c r="AT70" s="16" t="b">
        <f t="shared" si="21"/>
        <v>0</v>
      </c>
      <c r="AU70" s="16" t="b">
        <f t="shared" si="22"/>
        <v>0</v>
      </c>
      <c r="BA70" s="290">
        <v>25</v>
      </c>
      <c r="BB70" s="291">
        <v>200</v>
      </c>
      <c r="BC70" s="303">
        <v>0.17</v>
      </c>
      <c r="BD70" s="304">
        <v>0.13</v>
      </c>
      <c r="BE70" s="302"/>
      <c r="BF70" s="302"/>
      <c r="BH70" s="302"/>
      <c r="BI70" s="302"/>
      <c r="BJ70" s="18"/>
      <c r="BK70" s="18"/>
      <c r="BO70" s="16"/>
      <c r="BP70" s="182"/>
      <c r="BQ70" s="14"/>
      <c r="BR70" s="16"/>
      <c r="BS70" s="19"/>
      <c r="BY70" s="23" t="str">
        <f t="shared" ref="BY70:BY96" si="24">CONCATENATE(CM70,CN70,CO70,CP70,CQ70,CR70,CS70,CT70,CU70,CV70,CW70,CX70,CY70,CZ70)</f>
        <v/>
      </c>
      <c r="CM70" s="24"/>
      <c r="CN70" s="24"/>
      <c r="CO70" s="24"/>
      <c r="CP70" s="24"/>
      <c r="CQ70" s="24"/>
      <c r="CR70" s="24"/>
      <c r="CS70" s="24"/>
      <c r="CT70" s="24"/>
      <c r="CU70" s="24"/>
      <c r="CV70" s="24"/>
      <c r="CW70" s="24"/>
      <c r="CX70" s="25"/>
      <c r="CY70" s="25"/>
      <c r="CZ70" s="25"/>
      <c r="DB70" s="25"/>
      <c r="DC70" s="25"/>
      <c r="DD70" s="25"/>
      <c r="DE70" s="25"/>
      <c r="DF70" s="25"/>
      <c r="DG70" s="25"/>
      <c r="DH70" s="25"/>
      <c r="DI70" s="25"/>
      <c r="DJ70" s="25"/>
      <c r="DK70" s="25"/>
      <c r="DL70" s="25"/>
      <c r="DM70" s="24"/>
      <c r="DN70" s="24"/>
      <c r="DO70" s="24"/>
      <c r="DQ70" s="203"/>
      <c r="DR70" s="203"/>
      <c r="DS70" s="203"/>
      <c r="DT70" s="203"/>
      <c r="DV70" s="24"/>
      <c r="DW70" s="24"/>
      <c r="DX70" s="24"/>
      <c r="DY70" s="24"/>
      <c r="EA70" s="15"/>
      <c r="EB70" s="15"/>
      <c r="EC70" s="15"/>
      <c r="ED70" s="15"/>
      <c r="EF70" s="15"/>
      <c r="EG70" s="15"/>
      <c r="EH70" s="15"/>
      <c r="EI70" s="15"/>
      <c r="EJ70" s="15"/>
      <c r="EK70" s="15"/>
      <c r="EL70" s="15"/>
      <c r="EM70" s="15"/>
      <c r="EN70" s="15"/>
      <c r="EO70" s="15"/>
      <c r="EP70" s="15"/>
      <c r="EQ70" s="15"/>
      <c r="ER70" s="15"/>
      <c r="ET70" s="15"/>
      <c r="EU70" s="15"/>
      <c r="EV70" s="15"/>
      <c r="EW70" s="15"/>
      <c r="EX70" s="15"/>
      <c r="EY70" s="15"/>
      <c r="EZ70" s="15"/>
      <c r="FA70" s="15"/>
      <c r="FB70" s="15"/>
      <c r="FC70" s="15"/>
      <c r="FD70" s="15"/>
      <c r="FE70" s="15"/>
      <c r="FF70" s="15"/>
      <c r="FH70" s="24"/>
      <c r="FI70" s="24"/>
      <c r="FJ70" s="24"/>
      <c r="FK70" s="24"/>
      <c r="FL70" s="24"/>
      <c r="FM70" s="24"/>
      <c r="FN70" s="24"/>
      <c r="FO70" s="24"/>
      <c r="FQ70" s="24"/>
      <c r="FR70" s="24"/>
      <c r="FS70" s="24"/>
      <c r="FT70" s="24"/>
      <c r="FU70" s="24"/>
      <c r="FV70" s="24"/>
      <c r="FW70" s="24"/>
      <c r="FX70" s="24"/>
      <c r="FY70" s="25"/>
    </row>
    <row r="71" spans="9:181" ht="15.95" customHeight="1">
      <c r="I71" s="5" t="str">
        <f t="shared" si="23"/>
        <v>V = cutting speed (SFM)</v>
      </c>
      <c r="J71" s="5" t="s">
        <v>1470</v>
      </c>
      <c r="K71" s="5" t="s">
        <v>1482</v>
      </c>
      <c r="L71" s="5" t="s">
        <v>1494</v>
      </c>
      <c r="M71" s="5" t="s">
        <v>239</v>
      </c>
      <c r="N71" s="5" t="s">
        <v>1363</v>
      </c>
      <c r="O71" s="5" t="s">
        <v>564</v>
      </c>
      <c r="P71" s="5" t="s">
        <v>1074</v>
      </c>
      <c r="Q71" s="5" t="s">
        <v>493</v>
      </c>
      <c r="R71" s="5" t="s">
        <v>112</v>
      </c>
      <c r="S71" s="5" t="s">
        <v>37</v>
      </c>
      <c r="T71" s="5" t="s">
        <v>483</v>
      </c>
      <c r="U71" s="5" t="s">
        <v>540</v>
      </c>
      <c r="V71" s="5" t="s">
        <v>292</v>
      </c>
      <c r="W71" s="5" t="s">
        <v>1364</v>
      </c>
      <c r="X71" s="38" t="s">
        <v>12</v>
      </c>
      <c r="Y71" s="5" t="s">
        <v>1156</v>
      </c>
      <c r="Z71" s="5" t="s">
        <v>1157</v>
      </c>
      <c r="AA71" s="46" t="s">
        <v>1158</v>
      </c>
      <c r="AB71" s="5" t="s">
        <v>343</v>
      </c>
      <c r="AD71" s="131">
        <v>70</v>
      </c>
      <c r="AE71" s="193"/>
      <c r="AF71" s="193"/>
      <c r="AG71" s="193"/>
      <c r="AH71" s="195"/>
      <c r="AI71" s="155"/>
      <c r="AJ71" s="177"/>
      <c r="AK71" s="128"/>
      <c r="AL71" s="129"/>
      <c r="AM71" s="194"/>
      <c r="AN71" s="178"/>
      <c r="AO71" s="130"/>
      <c r="AP71" s="35" t="b">
        <f t="shared" si="17"/>
        <v>0</v>
      </c>
      <c r="AQ71" s="16">
        <f t="shared" si="18"/>
        <v>70</v>
      </c>
      <c r="AR71" s="16" t="b">
        <f t="shared" si="19"/>
        <v>0</v>
      </c>
      <c r="AS71" s="16" t="b">
        <f t="shared" si="20"/>
        <v>0</v>
      </c>
      <c r="AT71" s="16" t="b">
        <f t="shared" si="21"/>
        <v>0</v>
      </c>
      <c r="AU71" s="16" t="b">
        <f t="shared" si="22"/>
        <v>0</v>
      </c>
      <c r="BA71" s="290">
        <v>26</v>
      </c>
      <c r="BB71" s="291">
        <v>170</v>
      </c>
      <c r="BC71" s="303">
        <v>0.16</v>
      </c>
      <c r="BD71" s="304">
        <v>0.22</v>
      </c>
      <c r="BE71" s="302"/>
      <c r="BF71" s="302"/>
      <c r="BJ71" s="18"/>
      <c r="BK71" s="18"/>
      <c r="BO71" s="16"/>
      <c r="BQ71" s="16"/>
      <c r="BR71" s="16"/>
      <c r="BS71" s="16"/>
      <c r="BY71" s="23" t="str">
        <f t="shared" si="24"/>
        <v/>
      </c>
      <c r="CL71" s="25"/>
      <c r="CM71" s="16"/>
      <c r="CN71" s="16"/>
      <c r="CO71" s="16"/>
      <c r="CP71" s="16"/>
      <c r="CQ71" s="16"/>
      <c r="CR71" s="16"/>
      <c r="FG71" s="25"/>
      <c r="FH71" s="16"/>
      <c r="FI71" s="16"/>
      <c r="FJ71" s="16"/>
      <c r="FK71" s="16"/>
      <c r="FL71" s="16"/>
      <c r="FM71" s="16"/>
      <c r="FP71" s="25"/>
      <c r="FQ71" s="16"/>
      <c r="FR71" s="16"/>
      <c r="FS71" s="16"/>
      <c r="FT71" s="16"/>
      <c r="FU71" s="16"/>
      <c r="FV71" s="16"/>
    </row>
    <row r="72" spans="9:181" ht="15.95" customHeight="1">
      <c r="I72" s="5" t="str">
        <f t="shared" si="23"/>
        <v>Fz = feed/tooth (inch/tooth)</v>
      </c>
      <c r="J72" s="5" t="s">
        <v>1471</v>
      </c>
      <c r="K72" s="5" t="s">
        <v>1483</v>
      </c>
      <c r="L72" s="5" t="s">
        <v>1497</v>
      </c>
      <c r="M72" s="5" t="s">
        <v>240</v>
      </c>
      <c r="N72" s="5" t="s">
        <v>1434</v>
      </c>
      <c r="O72" s="5" t="s">
        <v>565</v>
      </c>
      <c r="P72" s="5" t="s">
        <v>1075</v>
      </c>
      <c r="Q72" s="5" t="s">
        <v>494</v>
      </c>
      <c r="R72" s="5" t="s">
        <v>113</v>
      </c>
      <c r="S72" s="5" t="s">
        <v>38</v>
      </c>
      <c r="T72" s="5" t="s">
        <v>432</v>
      </c>
      <c r="U72" s="5" t="s">
        <v>197</v>
      </c>
      <c r="V72" s="5" t="s">
        <v>293</v>
      </c>
      <c r="W72" s="5" t="s">
        <v>1365</v>
      </c>
      <c r="X72" s="38" t="s">
        <v>13</v>
      </c>
      <c r="Y72" s="5" t="s">
        <v>1160</v>
      </c>
      <c r="Z72" s="5" t="s">
        <v>1161</v>
      </c>
      <c r="AA72" s="46" t="s">
        <v>1162</v>
      </c>
      <c r="AB72" s="5" t="s">
        <v>1114</v>
      </c>
      <c r="AD72" s="131">
        <v>71</v>
      </c>
      <c r="AE72" s="193"/>
      <c r="AF72" s="193"/>
      <c r="AG72" s="193"/>
      <c r="AH72" s="195"/>
      <c r="AI72" s="155"/>
      <c r="AJ72" s="177"/>
      <c r="AK72" s="128"/>
      <c r="AL72" s="129"/>
      <c r="AM72" s="194"/>
      <c r="AN72" s="178"/>
      <c r="AO72" s="130"/>
      <c r="AP72" s="35" t="b">
        <f t="shared" si="17"/>
        <v>0</v>
      </c>
      <c r="AQ72" s="16">
        <f t="shared" si="18"/>
        <v>71</v>
      </c>
      <c r="AR72" s="16" t="b">
        <f t="shared" si="19"/>
        <v>0</v>
      </c>
      <c r="AS72" s="16" t="b">
        <f t="shared" si="20"/>
        <v>0</v>
      </c>
      <c r="AT72" s="16" t="b">
        <f t="shared" si="21"/>
        <v>0</v>
      </c>
      <c r="AU72" s="16" t="b">
        <f t="shared" si="22"/>
        <v>0</v>
      </c>
      <c r="BA72" s="290">
        <v>27</v>
      </c>
      <c r="BB72" s="291">
        <v>150</v>
      </c>
      <c r="BC72" s="303">
        <v>0.15</v>
      </c>
      <c r="BD72" s="304">
        <v>0.2</v>
      </c>
      <c r="BE72" s="302"/>
      <c r="BF72" s="302"/>
      <c r="BJ72" s="18"/>
      <c r="BK72" s="18"/>
      <c r="BP72"/>
      <c r="BV72" s="8">
        <v>24</v>
      </c>
      <c r="BW72" s="54" t="str">
        <f>LOOKUP(BT$54,BX$2:CK$2,BX72:CK72)</f>
        <v/>
      </c>
      <c r="BY72" s="23" t="str">
        <f t="shared" si="24"/>
        <v/>
      </c>
      <c r="CD72" s="23" t="str">
        <f>CC42</f>
        <v>G00 Z0.1344</v>
      </c>
      <c r="CJ72" s="23" t="str">
        <f>CF66</f>
        <v>G90 G49 G00 Z8. M5</v>
      </c>
      <c r="CL72" s="26"/>
      <c r="CM72" s="22"/>
      <c r="CN72" s="14"/>
      <c r="CO72" s="14"/>
      <c r="CP72" s="14"/>
      <c r="CQ72" s="14"/>
      <c r="CR72" s="14"/>
      <c r="DA72" s="26"/>
      <c r="DB72" s="22"/>
      <c r="DC72" s="14"/>
      <c r="DD72" s="14"/>
      <c r="DE72" s="14"/>
      <c r="DF72" s="14"/>
      <c r="DG72" s="14"/>
      <c r="DQ72" s="52"/>
      <c r="DV72" s="22"/>
      <c r="EA72" s="22"/>
      <c r="EF72" s="22"/>
      <c r="FG72" s="26"/>
      <c r="FH72" s="22"/>
      <c r="FI72" s="14"/>
      <c r="FJ72" s="14"/>
      <c r="FK72" s="14"/>
      <c r="FL72" s="14"/>
      <c r="FM72" s="14"/>
      <c r="FP72" s="26"/>
      <c r="FQ72" s="22"/>
      <c r="FR72" s="14"/>
      <c r="FS72" s="14"/>
      <c r="FT72" s="14"/>
      <c r="FU72" s="14"/>
      <c r="FV72" s="14"/>
    </row>
    <row r="73" spans="9:181" ht="15.95" customHeight="1">
      <c r="I73" s="5" t="str">
        <f t="shared" si="23"/>
        <v>Number of passes, radial (max 2)</v>
      </c>
      <c r="J73" s="5" t="s">
        <v>1326</v>
      </c>
      <c r="K73" s="5" t="s">
        <v>1163</v>
      </c>
      <c r="L73" s="40" t="s">
        <v>1164</v>
      </c>
      <c r="M73" s="5" t="s">
        <v>241</v>
      </c>
      <c r="N73" s="5" t="s">
        <v>1359</v>
      </c>
      <c r="O73" s="5" t="s">
        <v>566</v>
      </c>
      <c r="P73" s="5" t="s">
        <v>43</v>
      </c>
      <c r="Q73" s="5" t="s">
        <v>495</v>
      </c>
      <c r="R73" s="5" t="s">
        <v>114</v>
      </c>
      <c r="S73" s="5" t="s">
        <v>50</v>
      </c>
      <c r="T73" s="5" t="s">
        <v>473</v>
      </c>
      <c r="U73" s="5" t="s">
        <v>198</v>
      </c>
      <c r="V73" s="5" t="s">
        <v>294</v>
      </c>
      <c r="W73" s="5" t="s">
        <v>790</v>
      </c>
      <c r="X73" s="38" t="s">
        <v>465</v>
      </c>
      <c r="Y73" s="43" t="s">
        <v>1165</v>
      </c>
      <c r="Z73" s="39" t="s">
        <v>1166</v>
      </c>
      <c r="AA73" s="45" t="s">
        <v>1167</v>
      </c>
      <c r="AB73" s="5" t="s">
        <v>1115</v>
      </c>
      <c r="AD73" s="131">
        <v>72</v>
      </c>
      <c r="AE73" s="193"/>
      <c r="AF73" s="193"/>
      <c r="AG73" s="193"/>
      <c r="AH73" s="195"/>
      <c r="AI73" s="177"/>
      <c r="AJ73" s="177"/>
      <c r="AK73" s="253"/>
      <c r="AL73" s="156"/>
      <c r="AM73" s="254"/>
      <c r="AN73" s="255"/>
      <c r="AO73" s="130"/>
      <c r="AP73" s="35" t="b">
        <f t="shared" si="17"/>
        <v>0</v>
      </c>
      <c r="AQ73" s="16">
        <f t="shared" si="18"/>
        <v>72</v>
      </c>
      <c r="AR73" s="16" t="b">
        <f t="shared" si="19"/>
        <v>0</v>
      </c>
      <c r="AS73" s="16" t="b">
        <f t="shared" si="20"/>
        <v>0</v>
      </c>
      <c r="AT73" s="16" t="b">
        <f t="shared" si="21"/>
        <v>0</v>
      </c>
      <c r="AU73" s="16" t="b">
        <f t="shared" si="22"/>
        <v>0</v>
      </c>
      <c r="BA73" s="290">
        <v>28</v>
      </c>
      <c r="BB73" s="291">
        <v>120</v>
      </c>
      <c r="BC73" s="303">
        <v>0.13</v>
      </c>
      <c r="BD73" s="304">
        <v>0.18</v>
      </c>
      <c r="BE73" s="302"/>
      <c r="BF73" s="302"/>
      <c r="BJ73" s="18"/>
      <c r="BK73" s="18"/>
      <c r="BP73"/>
      <c r="BV73" s="8"/>
      <c r="BY73" s="23" t="str">
        <f t="shared" si="24"/>
        <v/>
      </c>
      <c r="CL73" s="26"/>
      <c r="CM73" s="16"/>
      <c r="CN73" s="6"/>
      <c r="CO73" s="6"/>
      <c r="CP73" s="14"/>
      <c r="CQ73" s="14"/>
      <c r="CR73" s="14"/>
      <c r="DA73" s="26"/>
      <c r="DC73" s="6"/>
      <c r="DD73" s="6"/>
      <c r="DE73" s="14"/>
      <c r="DF73" s="14"/>
      <c r="DG73" s="14"/>
      <c r="FG73" s="26"/>
      <c r="FH73" s="16"/>
      <c r="FI73" s="6"/>
      <c r="FJ73" s="6"/>
      <c r="FK73" s="14"/>
      <c r="FL73" s="14"/>
      <c r="FM73" s="14"/>
      <c r="FP73" s="26"/>
      <c r="FQ73" s="16"/>
      <c r="FR73" s="6"/>
      <c r="FS73" s="6"/>
      <c r="FT73" s="14"/>
      <c r="FU73" s="14"/>
      <c r="FV73" s="14"/>
    </row>
    <row r="74" spans="9:181" ht="15.95" customHeight="1">
      <c r="I74" s="5" t="str">
        <f t="shared" si="23"/>
        <v>Number of passes, axial</v>
      </c>
      <c r="J74" s="5" t="s">
        <v>679</v>
      </c>
      <c r="K74" s="5" t="s">
        <v>257</v>
      </c>
      <c r="L74" s="40" t="s">
        <v>1168</v>
      </c>
      <c r="M74" s="5" t="s">
        <v>242</v>
      </c>
      <c r="N74" s="5" t="s">
        <v>1360</v>
      </c>
      <c r="O74" s="5" t="s">
        <v>567</v>
      </c>
      <c r="P74" s="5" t="s">
        <v>48</v>
      </c>
      <c r="Q74" s="5" t="s">
        <v>496</v>
      </c>
      <c r="R74" s="5" t="s">
        <v>115</v>
      </c>
      <c r="S74" s="5" t="s">
        <v>51</v>
      </c>
      <c r="T74" s="5" t="s">
        <v>474</v>
      </c>
      <c r="U74" s="5" t="s">
        <v>199</v>
      </c>
      <c r="V74" s="5" t="s">
        <v>314</v>
      </c>
      <c r="W74" s="5" t="s">
        <v>1366</v>
      </c>
      <c r="X74" s="38" t="s">
        <v>466</v>
      </c>
      <c r="Y74" s="43" t="s">
        <v>1169</v>
      </c>
      <c r="Z74" s="39" t="s">
        <v>1170</v>
      </c>
      <c r="AA74" s="45" t="s">
        <v>1171</v>
      </c>
      <c r="AB74" s="5" t="s">
        <v>1096</v>
      </c>
      <c r="AD74" s="131">
        <v>73</v>
      </c>
      <c r="AE74" s="193"/>
      <c r="AF74" s="193"/>
      <c r="AG74" s="193"/>
      <c r="AH74" s="195"/>
      <c r="AI74" s="177"/>
      <c r="AJ74" s="177"/>
      <c r="AK74" s="253"/>
      <c r="AL74" s="156"/>
      <c r="AM74" s="254"/>
      <c r="AN74" s="255"/>
      <c r="AO74" s="130"/>
      <c r="AP74" s="35" t="b">
        <f t="shared" si="17"/>
        <v>0</v>
      </c>
      <c r="AQ74" s="16">
        <f t="shared" si="18"/>
        <v>73</v>
      </c>
      <c r="AR74" s="16" t="b">
        <f t="shared" si="19"/>
        <v>0</v>
      </c>
      <c r="AS74" s="16" t="b">
        <f t="shared" si="20"/>
        <v>0</v>
      </c>
      <c r="AT74" s="16" t="b">
        <f t="shared" si="21"/>
        <v>0</v>
      </c>
      <c r="AU74" s="16" t="b">
        <f t="shared" si="22"/>
        <v>0</v>
      </c>
      <c r="BA74" s="290">
        <v>29</v>
      </c>
      <c r="BB74" s="291">
        <v>20</v>
      </c>
      <c r="BC74" s="292">
        <v>0.03</v>
      </c>
      <c r="BD74" s="293">
        <v>0.05</v>
      </c>
      <c r="BE74" s="302"/>
      <c r="BF74" s="302"/>
      <c r="BJ74" s="18"/>
      <c r="BK74" s="18"/>
      <c r="BP74"/>
      <c r="BY74" s="23" t="str">
        <f t="shared" si="24"/>
        <v/>
      </c>
      <c r="CL74" s="26"/>
      <c r="CM74" s="14"/>
      <c r="CN74" s="14"/>
      <c r="CO74" s="14"/>
      <c r="CP74" s="14"/>
      <c r="CQ74" s="14"/>
      <c r="CR74" s="14"/>
      <c r="DA74" s="26"/>
      <c r="DB74" s="14"/>
      <c r="DC74" s="14"/>
      <c r="DD74" s="14"/>
      <c r="DE74" s="14"/>
      <c r="DF74" s="14"/>
      <c r="DG74" s="14"/>
      <c r="FG74" s="26"/>
      <c r="FH74" s="14"/>
      <c r="FI74" s="14"/>
      <c r="FJ74" s="14"/>
      <c r="FK74" s="14"/>
      <c r="FL74" s="14"/>
      <c r="FM74" s="14"/>
      <c r="FP74" s="26"/>
      <c r="FQ74" s="14"/>
      <c r="FR74" s="14"/>
      <c r="FS74" s="14"/>
      <c r="FT74" s="14"/>
      <c r="FU74" s="14"/>
      <c r="FV74" s="14"/>
    </row>
    <row r="75" spans="9:181" ht="15.95" customHeight="1">
      <c r="I75" s="5" t="str">
        <f t="shared" si="23"/>
        <v>N = spindle speed (rpm)</v>
      </c>
      <c r="J75" s="5" t="s">
        <v>1400</v>
      </c>
      <c r="K75" s="5" t="s">
        <v>769</v>
      </c>
      <c r="L75" s="5" t="s">
        <v>1172</v>
      </c>
      <c r="M75" s="5" t="s">
        <v>243</v>
      </c>
      <c r="N75" s="5" t="s">
        <v>1435</v>
      </c>
      <c r="O75" s="5" t="s">
        <v>568</v>
      </c>
      <c r="P75" s="5" t="s">
        <v>49</v>
      </c>
      <c r="Q75" s="5" t="s">
        <v>162</v>
      </c>
      <c r="R75" s="5" t="s">
        <v>116</v>
      </c>
      <c r="S75" s="5" t="s">
        <v>52</v>
      </c>
      <c r="T75" s="5" t="s">
        <v>475</v>
      </c>
      <c r="U75" s="5" t="s">
        <v>200</v>
      </c>
      <c r="V75" s="5" t="s">
        <v>295</v>
      </c>
      <c r="W75" s="5" t="s">
        <v>1367</v>
      </c>
      <c r="X75" s="38" t="s">
        <v>467</v>
      </c>
      <c r="Y75" s="5" t="s">
        <v>1173</v>
      </c>
      <c r="Z75" s="5" t="s">
        <v>1174</v>
      </c>
      <c r="AA75" s="46" t="s">
        <v>1175</v>
      </c>
      <c r="AB75" s="5" t="s">
        <v>1097</v>
      </c>
      <c r="AD75" s="131">
        <v>74</v>
      </c>
      <c r="AE75" s="193"/>
      <c r="AF75" s="193"/>
      <c r="AG75" s="193"/>
      <c r="AH75" s="195"/>
      <c r="AI75" s="177"/>
      <c r="AJ75" s="177"/>
      <c r="AK75" s="253"/>
      <c r="AL75" s="156"/>
      <c r="AM75" s="254"/>
      <c r="AN75" s="255"/>
      <c r="AO75" s="130"/>
      <c r="AP75" s="35" t="b">
        <f t="shared" si="17"/>
        <v>0</v>
      </c>
      <c r="AQ75" s="16">
        <f t="shared" si="18"/>
        <v>74</v>
      </c>
      <c r="AR75" s="16" t="b">
        <f t="shared" si="19"/>
        <v>0</v>
      </c>
      <c r="AS75" s="16" t="b">
        <f t="shared" si="20"/>
        <v>0</v>
      </c>
      <c r="AT75" s="16" t="b">
        <f t="shared" si="21"/>
        <v>0</v>
      </c>
      <c r="AU75" s="16" t="b">
        <f t="shared" si="22"/>
        <v>0</v>
      </c>
      <c r="BA75" s="305">
        <v>30</v>
      </c>
      <c r="BB75" s="306">
        <v>180</v>
      </c>
      <c r="BC75" s="307">
        <v>0.13</v>
      </c>
      <c r="BD75" s="308">
        <v>0.16</v>
      </c>
      <c r="BE75" s="302"/>
      <c r="BF75" s="302"/>
      <c r="BJ75" s="18"/>
      <c r="BK75" s="18"/>
      <c r="BP75"/>
      <c r="BV75" s="8">
        <v>25</v>
      </c>
      <c r="BW75" s="54" t="str">
        <f>LOOKUP(BT$54,BX$2:CK$2,BX75:CK75)</f>
        <v/>
      </c>
      <c r="BY75" s="23" t="str">
        <f t="shared" si="24"/>
        <v/>
      </c>
      <c r="CD75" s="23" t="str">
        <f>CC45</f>
        <v>G90 G49 G00 Z8. M5</v>
      </c>
      <c r="CJ75" s="23" t="str">
        <f>CF69</f>
        <v>M30</v>
      </c>
      <c r="CL75" s="25"/>
      <c r="CM75" s="16"/>
      <c r="CN75" s="16"/>
      <c r="CO75" s="16"/>
      <c r="CP75" s="16"/>
      <c r="CQ75" s="16"/>
      <c r="CR75" s="16"/>
      <c r="FG75" s="25"/>
      <c r="FH75" s="16"/>
      <c r="FI75" s="16"/>
      <c r="FJ75" s="16"/>
      <c r="FK75" s="16"/>
      <c r="FL75" s="16"/>
      <c r="FM75" s="16"/>
      <c r="FP75" s="25"/>
      <c r="FQ75" s="16"/>
      <c r="FR75" s="16"/>
      <c r="FS75" s="16"/>
      <c r="FT75" s="16"/>
      <c r="FU75" s="16"/>
      <c r="FV75" s="16"/>
    </row>
    <row r="76" spans="9:181" ht="15.95" customHeight="1">
      <c r="I76" s="5" t="str">
        <f t="shared" si="23"/>
        <v>FD = feed at thread diameter (inch/min)</v>
      </c>
      <c r="J76" s="5" t="s">
        <v>1472</v>
      </c>
      <c r="K76" s="5" t="s">
        <v>1484</v>
      </c>
      <c r="L76" s="5" t="s">
        <v>1495</v>
      </c>
      <c r="M76" s="5" t="s">
        <v>244</v>
      </c>
      <c r="N76" s="5" t="s">
        <v>714</v>
      </c>
      <c r="O76" s="5" t="s">
        <v>569</v>
      </c>
      <c r="P76" s="5" t="s">
        <v>312</v>
      </c>
      <c r="Q76" s="5" t="s">
        <v>163</v>
      </c>
      <c r="R76" s="5" t="s">
        <v>117</v>
      </c>
      <c r="S76" s="5" t="s">
        <v>53</v>
      </c>
      <c r="T76" s="5" t="s">
        <v>18</v>
      </c>
      <c r="U76" s="5" t="s">
        <v>201</v>
      </c>
      <c r="V76" s="5" t="s">
        <v>296</v>
      </c>
      <c r="W76" s="5" t="s">
        <v>755</v>
      </c>
      <c r="X76" s="38" t="s">
        <v>468</v>
      </c>
      <c r="Y76" s="5" t="s">
        <v>1177</v>
      </c>
      <c r="Z76" s="5" t="s">
        <v>1178</v>
      </c>
      <c r="AA76" s="46" t="s">
        <v>1179</v>
      </c>
      <c r="AB76" s="5" t="s">
        <v>1098</v>
      </c>
      <c r="AD76" s="131">
        <v>75</v>
      </c>
      <c r="AE76" s="193"/>
      <c r="AF76" s="193"/>
      <c r="AG76" s="193"/>
      <c r="AH76" s="195"/>
      <c r="AI76" s="177"/>
      <c r="AJ76" s="177"/>
      <c r="AK76" s="253"/>
      <c r="AL76" s="156"/>
      <c r="AM76" s="254"/>
      <c r="AN76" s="255"/>
      <c r="AO76" s="130"/>
      <c r="AP76" s="35" t="b">
        <f t="shared" si="17"/>
        <v>0</v>
      </c>
      <c r="AQ76" s="16">
        <f t="shared" si="18"/>
        <v>75</v>
      </c>
      <c r="AR76" s="16" t="b">
        <f t="shared" si="19"/>
        <v>0</v>
      </c>
      <c r="AS76" s="16" t="b">
        <f t="shared" si="20"/>
        <v>0</v>
      </c>
      <c r="AT76" s="16" t="b">
        <f t="shared" si="21"/>
        <v>0</v>
      </c>
      <c r="AU76" s="16" t="b">
        <f t="shared" si="22"/>
        <v>0</v>
      </c>
      <c r="BJ76" s="18"/>
      <c r="BK76" s="18"/>
      <c r="BP76"/>
      <c r="BY76" s="23" t="str">
        <f t="shared" si="24"/>
        <v/>
      </c>
      <c r="CL76" s="26"/>
      <c r="CM76" s="16"/>
      <c r="CN76" s="16"/>
      <c r="CO76" s="16"/>
      <c r="CP76" s="16"/>
      <c r="CQ76" s="16"/>
      <c r="CR76" s="16"/>
      <c r="DA76" s="26"/>
      <c r="FG76" s="26"/>
      <c r="FH76" s="16"/>
      <c r="FI76" s="16"/>
      <c r="FJ76" s="16"/>
      <c r="FK76" s="16"/>
      <c r="FL76" s="16"/>
      <c r="FM76" s="16"/>
      <c r="FP76" s="26"/>
      <c r="FQ76" s="16"/>
      <c r="FR76" s="16"/>
      <c r="FS76" s="16"/>
      <c r="FT76" s="16"/>
      <c r="FU76" s="16"/>
      <c r="FV76" s="16"/>
    </row>
    <row r="77" spans="9:181" ht="15.95" customHeight="1">
      <c r="I77" s="5" t="str">
        <f t="shared" si="23"/>
        <v>Fd = feed in center of mill (inch/min)</v>
      </c>
      <c r="J77" s="5" t="s">
        <v>1473</v>
      </c>
      <c r="K77" s="5" t="s">
        <v>1485</v>
      </c>
      <c r="L77" s="5" t="s">
        <v>1496</v>
      </c>
      <c r="M77" s="5" t="s">
        <v>245</v>
      </c>
      <c r="N77" s="5" t="s">
        <v>767</v>
      </c>
      <c r="O77" s="5" t="s">
        <v>576</v>
      </c>
      <c r="P77" s="5" t="s">
        <v>39</v>
      </c>
      <c r="Q77" s="5" t="s">
        <v>164</v>
      </c>
      <c r="R77" s="5" t="s">
        <v>118</v>
      </c>
      <c r="S77" s="5" t="s">
        <v>54</v>
      </c>
      <c r="T77" s="5" t="s">
        <v>19</v>
      </c>
      <c r="U77" s="5" t="s">
        <v>202</v>
      </c>
      <c r="V77" s="5" t="s">
        <v>297</v>
      </c>
      <c r="W77" s="5" t="s">
        <v>609</v>
      </c>
      <c r="X77" s="38" t="s">
        <v>469</v>
      </c>
      <c r="Y77" s="5" t="s">
        <v>1181</v>
      </c>
      <c r="Z77" s="5" t="s">
        <v>1182</v>
      </c>
      <c r="AA77" s="46" t="s">
        <v>1183</v>
      </c>
      <c r="AB77" s="5" t="s">
        <v>1099</v>
      </c>
      <c r="AD77" s="131">
        <v>76</v>
      </c>
      <c r="AE77" s="193"/>
      <c r="AF77" s="193"/>
      <c r="AG77" s="193"/>
      <c r="AH77" s="195"/>
      <c r="AI77" s="177"/>
      <c r="AJ77" s="177"/>
      <c r="AK77" s="253"/>
      <c r="AL77" s="156"/>
      <c r="AM77" s="254"/>
      <c r="AN77" s="255"/>
      <c r="AO77" s="130"/>
      <c r="AP77" s="35" t="b">
        <f t="shared" si="17"/>
        <v>0</v>
      </c>
      <c r="AQ77" s="16">
        <f t="shared" si="18"/>
        <v>76</v>
      </c>
      <c r="AR77" s="16" t="b">
        <f t="shared" si="19"/>
        <v>0</v>
      </c>
      <c r="AS77" s="16" t="b">
        <f t="shared" si="20"/>
        <v>0</v>
      </c>
      <c r="AT77" s="16" t="b">
        <f t="shared" si="21"/>
        <v>0</v>
      </c>
      <c r="AU77" s="16" t="b">
        <f t="shared" si="22"/>
        <v>0</v>
      </c>
      <c r="BJ77" s="18"/>
      <c r="BK77" s="18"/>
      <c r="BP77"/>
      <c r="BY77" s="23" t="str">
        <f t="shared" si="24"/>
        <v/>
      </c>
      <c r="CL77" s="26"/>
      <c r="CM77" s="16"/>
      <c r="CN77" s="14"/>
      <c r="CO77" s="16"/>
      <c r="CP77" s="16"/>
      <c r="CQ77" s="16"/>
      <c r="CR77" s="16"/>
      <c r="DA77" s="26"/>
      <c r="DC77" s="14"/>
      <c r="FG77" s="26"/>
      <c r="FH77" s="16"/>
      <c r="FI77" s="14"/>
      <c r="FJ77" s="16"/>
      <c r="FK77" s="16"/>
      <c r="FL77" s="16"/>
      <c r="FM77" s="16"/>
      <c r="FP77" s="26"/>
      <c r="FQ77" s="16"/>
      <c r="FR77" s="14"/>
      <c r="FS77" s="16"/>
      <c r="FT77" s="16"/>
      <c r="FU77" s="16"/>
      <c r="FV77" s="16"/>
    </row>
    <row r="78" spans="9:181" ht="15.95" customHeight="1">
      <c r="I78" s="5" t="str">
        <f t="shared" si="23"/>
        <v>T = time to mill the thread (seconds)</v>
      </c>
      <c r="J78" s="5" t="s">
        <v>1422</v>
      </c>
      <c r="K78" s="5" t="s">
        <v>1087</v>
      </c>
      <c r="L78" s="5" t="s">
        <v>1184</v>
      </c>
      <c r="M78" s="5" t="s">
        <v>246</v>
      </c>
      <c r="N78" s="5" t="s">
        <v>597</v>
      </c>
      <c r="O78" s="5" t="s">
        <v>1298</v>
      </c>
      <c r="P78" s="5" t="s">
        <v>40</v>
      </c>
      <c r="Q78" s="5" t="s">
        <v>165</v>
      </c>
      <c r="R78" s="5" t="s">
        <v>433</v>
      </c>
      <c r="S78" s="5" t="s">
        <v>55</v>
      </c>
      <c r="T78" s="5" t="s">
        <v>476</v>
      </c>
      <c r="U78" s="5" t="s">
        <v>1227</v>
      </c>
      <c r="V78" s="5" t="s">
        <v>298</v>
      </c>
      <c r="W78" s="5" t="s">
        <v>1413</v>
      </c>
      <c r="X78" s="38" t="s">
        <v>485</v>
      </c>
      <c r="Y78" s="5" t="s">
        <v>1185</v>
      </c>
      <c r="Z78" s="5" t="s">
        <v>1186</v>
      </c>
      <c r="AA78" s="46" t="s">
        <v>1187</v>
      </c>
      <c r="AB78" s="5" t="s">
        <v>1103</v>
      </c>
      <c r="AD78" s="131">
        <v>77</v>
      </c>
      <c r="AE78" s="193"/>
      <c r="AF78" s="193"/>
      <c r="AG78" s="193"/>
      <c r="AH78" s="195"/>
      <c r="AI78" s="177"/>
      <c r="AJ78" s="177"/>
      <c r="AK78" s="253"/>
      <c r="AL78" s="156"/>
      <c r="AM78" s="254"/>
      <c r="AN78" s="255"/>
      <c r="AO78" s="130"/>
      <c r="AP78" s="35" t="b">
        <f t="shared" si="17"/>
        <v>0</v>
      </c>
      <c r="AQ78" s="16">
        <f t="shared" si="18"/>
        <v>77</v>
      </c>
      <c r="AR78" s="16" t="b">
        <f t="shared" si="19"/>
        <v>0</v>
      </c>
      <c r="AS78" s="16" t="b">
        <f t="shared" si="20"/>
        <v>0</v>
      </c>
      <c r="AT78" s="16" t="b">
        <f t="shared" si="21"/>
        <v>0</v>
      </c>
      <c r="AU78" s="16" t="b">
        <f t="shared" si="22"/>
        <v>0</v>
      </c>
      <c r="BJ78" s="18"/>
      <c r="BK78" s="18"/>
      <c r="BV78" s="8">
        <v>26</v>
      </c>
      <c r="BW78" s="54" t="str">
        <f>LOOKUP(BT$54,BX$2:CK$2,BX78:CK78)</f>
        <v/>
      </c>
      <c r="BY78" s="23" t="str">
        <f t="shared" si="24"/>
        <v/>
      </c>
      <c r="CD78" s="23" t="str">
        <f>CC48</f>
        <v>M30</v>
      </c>
      <c r="CL78" s="25"/>
      <c r="CM78" s="16"/>
      <c r="CN78" s="113"/>
      <c r="CO78" s="16"/>
      <c r="CP78" s="16"/>
      <c r="CQ78" s="16"/>
      <c r="CR78" s="16"/>
      <c r="DC78" s="14"/>
      <c r="FG78" s="25"/>
      <c r="FH78" s="16"/>
      <c r="FI78" s="113"/>
      <c r="FJ78" s="16"/>
      <c r="FK78" s="16"/>
      <c r="FL78" s="16"/>
      <c r="FM78" s="16"/>
      <c r="FP78" s="25"/>
      <c r="FQ78" s="16"/>
      <c r="FR78" s="113"/>
      <c r="FS78" s="16"/>
      <c r="FT78" s="16"/>
      <c r="FU78" s="16"/>
      <c r="FV78" s="16"/>
    </row>
    <row r="79" spans="9:181" ht="15.95" customHeight="1">
      <c r="I79" s="5" t="str">
        <f t="shared" si="23"/>
        <v>Fdr = drilling feed(inch/rev.)</v>
      </c>
      <c r="J79" s="191" t="s">
        <v>1474</v>
      </c>
      <c r="K79" s="191" t="s">
        <v>1486</v>
      </c>
      <c r="L79" s="191" t="s">
        <v>1498</v>
      </c>
      <c r="X79" s="38"/>
      <c r="AA79" s="46"/>
      <c r="AD79" s="131">
        <v>78</v>
      </c>
      <c r="AE79" s="193"/>
      <c r="AF79" s="193"/>
      <c r="AG79" s="193"/>
      <c r="AH79" s="195"/>
      <c r="AI79" s="177"/>
      <c r="AJ79" s="177"/>
      <c r="AK79" s="253"/>
      <c r="AL79" s="156"/>
      <c r="AM79" s="254"/>
      <c r="AN79" s="255"/>
      <c r="AO79" s="130"/>
      <c r="AP79" s="35" t="b">
        <f t="shared" si="17"/>
        <v>0</v>
      </c>
      <c r="AQ79" s="16">
        <f t="shared" si="18"/>
        <v>78</v>
      </c>
      <c r="AR79" s="16" t="b">
        <f t="shared" si="19"/>
        <v>0</v>
      </c>
      <c r="AS79" s="16" t="b">
        <f t="shared" si="20"/>
        <v>0</v>
      </c>
      <c r="AT79" s="16" t="b">
        <f t="shared" si="21"/>
        <v>0</v>
      </c>
      <c r="AU79" s="16" t="b">
        <f t="shared" si="22"/>
        <v>0</v>
      </c>
      <c r="BJ79" s="18"/>
      <c r="BK79" s="18"/>
      <c r="BV79" s="8"/>
      <c r="BY79" s="23" t="str">
        <f t="shared" si="24"/>
        <v/>
      </c>
      <c r="CL79" s="26"/>
      <c r="CM79" s="14"/>
      <c r="CN79" s="14"/>
      <c r="CO79" s="14"/>
      <c r="CP79" s="16"/>
      <c r="CQ79" s="14"/>
      <c r="CR79" s="14"/>
      <c r="CS79" s="14"/>
      <c r="CT79" s="14"/>
      <c r="CU79" s="14"/>
      <c r="CV79" s="14"/>
      <c r="CW79" s="14"/>
      <c r="DA79" s="26"/>
      <c r="DB79" s="14"/>
      <c r="DC79" s="14"/>
      <c r="DD79" s="14"/>
      <c r="DF79" s="14"/>
      <c r="DG79" s="14"/>
      <c r="FG79" s="26"/>
      <c r="FH79" s="14"/>
      <c r="FI79" s="14"/>
      <c r="FJ79" s="14"/>
      <c r="FK79" s="16"/>
      <c r="FL79" s="14"/>
      <c r="FM79" s="14"/>
      <c r="FN79" s="14"/>
      <c r="FO79" s="14"/>
      <c r="FP79" s="26"/>
      <c r="FQ79" s="14"/>
      <c r="FR79" s="14"/>
      <c r="FS79" s="14"/>
      <c r="FT79" s="16"/>
      <c r="FU79" s="14"/>
      <c r="FV79" s="14"/>
      <c r="FW79" s="14"/>
      <c r="FX79" s="14"/>
    </row>
    <row r="80" spans="9:181" ht="15.95" customHeight="1">
      <c r="X80" s="38"/>
      <c r="AA80" s="46"/>
      <c r="AD80" s="131">
        <v>79</v>
      </c>
      <c r="AE80" s="193"/>
      <c r="AF80" s="193"/>
      <c r="AG80" s="193"/>
      <c r="AH80" s="195"/>
      <c r="AI80" s="177"/>
      <c r="AJ80" s="177"/>
      <c r="AK80" s="253"/>
      <c r="AL80" s="156"/>
      <c r="AM80" s="254"/>
      <c r="AN80" s="255"/>
      <c r="AO80" s="130"/>
      <c r="AP80" s="35" t="b">
        <f t="shared" si="17"/>
        <v>0</v>
      </c>
      <c r="AQ80" s="16">
        <f t="shared" si="18"/>
        <v>79</v>
      </c>
      <c r="AR80" s="16" t="b">
        <f t="shared" si="19"/>
        <v>0</v>
      </c>
      <c r="AS80" s="16" t="b">
        <f t="shared" si="20"/>
        <v>0</v>
      </c>
      <c r="AT80" s="16" t="b">
        <f t="shared" si="21"/>
        <v>0</v>
      </c>
      <c r="AU80" s="16" t="b">
        <f t="shared" si="22"/>
        <v>0</v>
      </c>
      <c r="BJ80" s="18"/>
      <c r="BK80" s="18"/>
      <c r="BY80" s="23" t="str">
        <f t="shared" si="24"/>
        <v/>
      </c>
      <c r="CL80" s="26"/>
      <c r="CM80" s="14"/>
      <c r="CN80" s="14"/>
      <c r="CO80" s="14"/>
      <c r="CP80" s="14"/>
      <c r="CQ80" s="14"/>
      <c r="CR80" s="14"/>
      <c r="CS80" s="14"/>
      <c r="CT80" s="14"/>
      <c r="CU80" s="14"/>
      <c r="CV80" s="14"/>
      <c r="CW80" s="14"/>
      <c r="DA80" s="26"/>
      <c r="DB80" s="14"/>
      <c r="DC80" s="14"/>
      <c r="DD80" s="14"/>
      <c r="DE80" s="14"/>
      <c r="DF80" s="14"/>
      <c r="DG80" s="14"/>
      <c r="FG80" s="26"/>
      <c r="FH80" s="14"/>
      <c r="FI80" s="14"/>
      <c r="FJ80" s="14"/>
      <c r="FK80" s="14"/>
      <c r="FL80" s="14"/>
      <c r="FM80" s="14"/>
      <c r="FN80" s="14"/>
      <c r="FO80" s="14"/>
      <c r="FP80" s="26"/>
      <c r="FQ80" s="14"/>
      <c r="FR80" s="14"/>
      <c r="FS80" s="14"/>
      <c r="FT80" s="14"/>
      <c r="FU80" s="14"/>
      <c r="FV80" s="14"/>
      <c r="FW80" s="14"/>
      <c r="FX80" s="14"/>
    </row>
    <row r="81" spans="8:180" ht="15.95" customHeight="1">
      <c r="X81" s="38"/>
      <c r="AA81" s="46"/>
      <c r="AD81" s="131">
        <v>80</v>
      </c>
      <c r="AE81" s="193"/>
      <c r="AF81" s="193"/>
      <c r="AG81" s="193"/>
      <c r="AH81" s="195"/>
      <c r="AI81" s="177"/>
      <c r="AJ81" s="177"/>
      <c r="AK81" s="253"/>
      <c r="AL81" s="156"/>
      <c r="AM81" s="254"/>
      <c r="AN81" s="255"/>
      <c r="AO81" s="130"/>
      <c r="AP81" s="35" t="b">
        <f t="shared" si="17"/>
        <v>0</v>
      </c>
      <c r="AQ81" s="16">
        <f t="shared" si="18"/>
        <v>80</v>
      </c>
      <c r="AR81" s="16" t="b">
        <f t="shared" si="19"/>
        <v>0</v>
      </c>
      <c r="AS81" s="16" t="b">
        <f t="shared" si="20"/>
        <v>0</v>
      </c>
      <c r="AT81" s="16" t="b">
        <f t="shared" si="21"/>
        <v>0</v>
      </c>
      <c r="AU81" s="16" t="b">
        <f t="shared" si="22"/>
        <v>0</v>
      </c>
      <c r="BJ81" s="18"/>
      <c r="BK81" s="18"/>
      <c r="BV81" s="8">
        <v>27</v>
      </c>
      <c r="BW81" s="54" t="str">
        <f>LOOKUP(BT$54,BX$2:CK$2,BX81:CK81)</f>
        <v/>
      </c>
      <c r="BY81" s="23" t="str">
        <f t="shared" si="24"/>
        <v/>
      </c>
      <c r="CL81" s="25"/>
      <c r="CM81" s="16"/>
      <c r="CN81" s="14"/>
      <c r="CO81" s="16"/>
      <c r="CP81" s="14"/>
      <c r="CQ81" s="16"/>
      <c r="CR81" s="16"/>
      <c r="CS81" s="14"/>
      <c r="CT81" s="14"/>
      <c r="CU81" s="14"/>
      <c r="CV81" s="14"/>
      <c r="CW81" s="14"/>
      <c r="DC81" s="14"/>
      <c r="DE81" s="14"/>
      <c r="FG81" s="25"/>
      <c r="FH81" s="16"/>
      <c r="FI81" s="14"/>
      <c r="FJ81" s="16"/>
      <c r="FK81" s="14"/>
      <c r="FL81" s="16"/>
      <c r="FM81" s="16"/>
      <c r="FN81" s="14"/>
      <c r="FO81" s="14"/>
      <c r="FP81" s="25"/>
      <c r="FQ81" s="16"/>
      <c r="FR81" s="14"/>
      <c r="FS81" s="16"/>
      <c r="FT81" s="14"/>
      <c r="FU81" s="16"/>
      <c r="FV81" s="16"/>
      <c r="FW81" s="14"/>
      <c r="FX81" s="14"/>
    </row>
    <row r="82" spans="8:180" ht="15.95" customHeight="1">
      <c r="H82" s="14">
        <v>1</v>
      </c>
      <c r="I82" s="5" t="str">
        <f t="shared" ref="I82:I88" si="25">LOOKUP(H$27,J$2:AB$2,J82:AB82)</f>
        <v>CNC program for Fanuc</v>
      </c>
      <c r="J82" s="23" t="s">
        <v>142</v>
      </c>
      <c r="K82" s="23" t="s">
        <v>1427</v>
      </c>
      <c r="L82" s="40" t="s">
        <v>1188</v>
      </c>
      <c r="M82" s="23" t="s">
        <v>247</v>
      </c>
      <c r="N82" s="23" t="s">
        <v>747</v>
      </c>
      <c r="O82" s="5" t="s">
        <v>1299</v>
      </c>
      <c r="P82" s="23" t="s">
        <v>41</v>
      </c>
      <c r="Q82" s="23" t="s">
        <v>166</v>
      </c>
      <c r="R82" s="5" t="s">
        <v>434</v>
      </c>
      <c r="S82" s="23" t="s">
        <v>56</v>
      </c>
      <c r="T82" s="5" t="s">
        <v>477</v>
      </c>
      <c r="U82" s="5" t="s">
        <v>1228</v>
      </c>
      <c r="V82" s="5" t="s">
        <v>1230</v>
      </c>
      <c r="W82" s="23" t="s">
        <v>626</v>
      </c>
      <c r="X82" s="38" t="s">
        <v>387</v>
      </c>
      <c r="Y82" s="43" t="s">
        <v>1189</v>
      </c>
      <c r="Z82" s="23" t="s">
        <v>1190</v>
      </c>
      <c r="AA82" s="46" t="s">
        <v>1191</v>
      </c>
      <c r="AB82" s="23" t="s">
        <v>1104</v>
      </c>
      <c r="AD82" s="131">
        <v>81</v>
      </c>
      <c r="AE82" s="193"/>
      <c r="AF82" s="193"/>
      <c r="AG82" s="193"/>
      <c r="AH82" s="195"/>
      <c r="AI82" s="177"/>
      <c r="AJ82" s="177"/>
      <c r="AK82" s="253"/>
      <c r="AL82" s="156"/>
      <c r="AM82" s="254"/>
      <c r="AN82" s="255"/>
      <c r="AO82" s="130"/>
      <c r="AP82" s="35" t="b">
        <f t="shared" si="17"/>
        <v>0</v>
      </c>
      <c r="AQ82" s="16">
        <f t="shared" si="18"/>
        <v>81</v>
      </c>
      <c r="AR82" s="16" t="b">
        <f t="shared" si="19"/>
        <v>0</v>
      </c>
      <c r="AS82" s="16" t="b">
        <f t="shared" si="20"/>
        <v>0</v>
      </c>
      <c r="AT82" s="16" t="b">
        <f t="shared" si="21"/>
        <v>0</v>
      </c>
      <c r="AU82" s="16" t="b">
        <f t="shared" si="22"/>
        <v>0</v>
      </c>
      <c r="BJ82" s="18"/>
      <c r="BK82" s="18"/>
      <c r="BY82" s="23" t="str">
        <f t="shared" si="24"/>
        <v/>
      </c>
      <c r="CL82" s="26"/>
      <c r="CM82" s="14"/>
      <c r="CN82" s="14"/>
      <c r="CO82" s="14"/>
      <c r="CP82" s="14"/>
      <c r="CQ82" s="14"/>
      <c r="CR82" s="6"/>
      <c r="CS82" s="14"/>
      <c r="CT82" s="14"/>
      <c r="CU82" s="14"/>
      <c r="CV82" s="14"/>
      <c r="CW82" s="14"/>
      <c r="DA82" s="26"/>
      <c r="DB82" s="14"/>
      <c r="DC82" s="14"/>
      <c r="DD82" s="14"/>
      <c r="DE82" s="14"/>
      <c r="DF82" s="14"/>
      <c r="DG82" s="6"/>
      <c r="DP82" s="26"/>
      <c r="FG82" s="26"/>
      <c r="FH82" s="14"/>
      <c r="FI82" s="14"/>
      <c r="FJ82" s="14"/>
      <c r="FK82" s="14"/>
      <c r="FL82" s="14"/>
      <c r="FM82" s="6"/>
      <c r="FN82" s="14"/>
      <c r="FO82" s="14"/>
      <c r="FP82" s="26"/>
      <c r="FQ82" s="14"/>
      <c r="FR82" s="14"/>
      <c r="FS82" s="14"/>
      <c r="FT82" s="14"/>
      <c r="FU82" s="14"/>
      <c r="FV82" s="6"/>
      <c r="FW82" s="14"/>
      <c r="FX82" s="14"/>
    </row>
    <row r="83" spans="8:180" ht="15.95" customHeight="1">
      <c r="H83" s="14">
        <v>2</v>
      </c>
      <c r="I83" s="5" t="str">
        <f t="shared" si="25"/>
        <v>CNC program for Heidenhain</v>
      </c>
      <c r="J83" s="23" t="s">
        <v>82</v>
      </c>
      <c r="K83" s="23" t="s">
        <v>437</v>
      </c>
      <c r="L83" s="40" t="s">
        <v>1192</v>
      </c>
      <c r="M83" s="23" t="s">
        <v>436</v>
      </c>
      <c r="N83" s="23" t="s">
        <v>83</v>
      </c>
      <c r="O83" s="5" t="s">
        <v>84</v>
      </c>
      <c r="P83" s="23" t="s">
        <v>85</v>
      </c>
      <c r="Q83" s="23" t="s">
        <v>86</v>
      </c>
      <c r="R83" s="5" t="s">
        <v>82</v>
      </c>
      <c r="S83" s="23" t="s">
        <v>87</v>
      </c>
      <c r="T83" s="5" t="s">
        <v>88</v>
      </c>
      <c r="U83" s="5" t="s">
        <v>92</v>
      </c>
      <c r="V83" s="5" t="s">
        <v>89</v>
      </c>
      <c r="W83" s="23" t="s">
        <v>90</v>
      </c>
      <c r="X83" s="38" t="s">
        <v>91</v>
      </c>
      <c r="Y83" s="43" t="s">
        <v>1193</v>
      </c>
      <c r="Z83" s="23" t="s">
        <v>1194</v>
      </c>
      <c r="AA83" s="46" t="s">
        <v>1195</v>
      </c>
      <c r="AB83" s="23" t="s">
        <v>81</v>
      </c>
      <c r="AD83" s="131">
        <v>82</v>
      </c>
      <c r="AE83" s="193"/>
      <c r="AF83" s="193"/>
      <c r="AG83" s="193"/>
      <c r="AH83" s="195"/>
      <c r="AI83" s="177"/>
      <c r="AJ83" s="177"/>
      <c r="AK83" s="253"/>
      <c r="AL83" s="156"/>
      <c r="AM83" s="254"/>
      <c r="AN83" s="255"/>
      <c r="AO83" s="130"/>
      <c r="AP83" s="35" t="b">
        <f t="shared" si="17"/>
        <v>0</v>
      </c>
      <c r="AQ83" s="16">
        <f t="shared" si="18"/>
        <v>82</v>
      </c>
      <c r="AR83" s="16" t="b">
        <f t="shared" si="19"/>
        <v>0</v>
      </c>
      <c r="AS83" s="16" t="b">
        <f t="shared" si="20"/>
        <v>0</v>
      </c>
      <c r="AT83" s="16" t="b">
        <f t="shared" si="21"/>
        <v>0</v>
      </c>
      <c r="AU83" s="16" t="b">
        <f t="shared" si="22"/>
        <v>0</v>
      </c>
      <c r="BJ83" s="19"/>
      <c r="BK83" s="18"/>
      <c r="BY83" s="23" t="str">
        <f t="shared" si="24"/>
        <v/>
      </c>
      <c r="CL83" s="26"/>
      <c r="CM83" s="14"/>
      <c r="CN83" s="14"/>
      <c r="CO83" s="14"/>
      <c r="CP83" s="14"/>
      <c r="CQ83" s="14"/>
      <c r="CR83" s="14"/>
      <c r="CS83" s="14"/>
      <c r="CT83" s="14"/>
      <c r="CU83" s="14"/>
      <c r="CV83" s="14"/>
      <c r="CW83" s="14"/>
      <c r="DA83" s="26"/>
      <c r="DB83" s="14"/>
      <c r="DC83" s="14"/>
      <c r="DD83" s="14"/>
      <c r="DE83" s="14"/>
      <c r="DF83" s="14"/>
      <c r="DG83" s="14"/>
      <c r="DP83" s="26"/>
      <c r="FG83" s="26"/>
      <c r="FH83" s="14"/>
      <c r="FI83" s="14"/>
      <c r="FJ83" s="14"/>
      <c r="FK83" s="14"/>
      <c r="FL83" s="14"/>
      <c r="FM83" s="14"/>
      <c r="FN83" s="14"/>
      <c r="FO83" s="14"/>
      <c r="FP83" s="26"/>
      <c r="FQ83" s="14"/>
      <c r="FR83" s="14"/>
      <c r="FS83" s="14"/>
      <c r="FT83" s="14"/>
      <c r="FU83" s="14"/>
      <c r="FV83" s="14"/>
      <c r="FW83" s="14"/>
      <c r="FX83" s="14"/>
    </row>
    <row r="84" spans="8:180" ht="15.95" customHeight="1">
      <c r="H84" s="14">
        <v>3</v>
      </c>
      <c r="I84" s="5" t="str">
        <f t="shared" si="25"/>
        <v>CNC program for Siemens</v>
      </c>
      <c r="J84" s="23" t="s">
        <v>160</v>
      </c>
      <c r="K84" s="23" t="s">
        <v>1428</v>
      </c>
      <c r="L84" s="40" t="s">
        <v>1196</v>
      </c>
      <c r="M84" s="23" t="s">
        <v>248</v>
      </c>
      <c r="N84" s="23" t="s">
        <v>598</v>
      </c>
      <c r="O84" s="5" t="s">
        <v>1300</v>
      </c>
      <c r="P84" s="23" t="s">
        <v>42</v>
      </c>
      <c r="Q84" s="23" t="s">
        <v>167</v>
      </c>
      <c r="R84" s="5" t="s">
        <v>160</v>
      </c>
      <c r="S84" s="23" t="s">
        <v>57</v>
      </c>
      <c r="T84" s="5" t="s">
        <v>203</v>
      </c>
      <c r="U84" s="5" t="s">
        <v>1229</v>
      </c>
      <c r="V84" s="5" t="s">
        <v>1231</v>
      </c>
      <c r="W84" s="23" t="s">
        <v>627</v>
      </c>
      <c r="X84" s="38" t="s">
        <v>388</v>
      </c>
      <c r="Y84" s="43" t="s">
        <v>1197</v>
      </c>
      <c r="Z84" s="23" t="s">
        <v>1198</v>
      </c>
      <c r="AA84" s="46" t="s">
        <v>1199</v>
      </c>
      <c r="AB84" s="23" t="s">
        <v>1105</v>
      </c>
      <c r="AD84" s="131">
        <v>83</v>
      </c>
      <c r="AE84" s="193"/>
      <c r="AF84" s="193"/>
      <c r="AG84" s="193"/>
      <c r="AH84" s="195"/>
      <c r="AI84" s="177"/>
      <c r="AJ84" s="177"/>
      <c r="AK84" s="253"/>
      <c r="AL84" s="156"/>
      <c r="AM84" s="254"/>
      <c r="AN84" s="255"/>
      <c r="AO84" s="130"/>
      <c r="AP84" s="35" t="b">
        <f t="shared" si="17"/>
        <v>0</v>
      </c>
      <c r="AQ84" s="16">
        <f t="shared" si="18"/>
        <v>83</v>
      </c>
      <c r="AR84" s="16" t="b">
        <f t="shared" si="19"/>
        <v>0</v>
      </c>
      <c r="AS84" s="16" t="b">
        <f t="shared" si="20"/>
        <v>0</v>
      </c>
      <c r="AT84" s="16" t="b">
        <f t="shared" si="21"/>
        <v>0</v>
      </c>
      <c r="AU84" s="16" t="b">
        <f t="shared" si="22"/>
        <v>0</v>
      </c>
      <c r="BJ84" s="19"/>
      <c r="BK84" s="18"/>
      <c r="BV84" s="8">
        <v>28</v>
      </c>
      <c r="BW84" s="54" t="str">
        <f>LOOKUP(BT$54,BX$2:CK$2,BX84:CK84)</f>
        <v/>
      </c>
      <c r="BY84" s="23" t="str">
        <f t="shared" si="24"/>
        <v/>
      </c>
      <c r="CL84" s="25"/>
      <c r="CM84" s="16"/>
      <c r="CN84" s="16"/>
      <c r="CO84" s="16"/>
      <c r="CP84" s="16"/>
      <c r="CQ84" s="16"/>
      <c r="CR84" s="16"/>
      <c r="CW84" s="14"/>
      <c r="DP84" s="25"/>
      <c r="FG84" s="25"/>
      <c r="FH84" s="16"/>
      <c r="FI84" s="16"/>
      <c r="FJ84" s="16"/>
      <c r="FK84" s="16"/>
      <c r="FL84" s="16"/>
      <c r="FM84" s="16"/>
      <c r="FP84" s="25"/>
      <c r="FQ84" s="16"/>
      <c r="FR84" s="16"/>
      <c r="FS84" s="16"/>
      <c r="FT84" s="16"/>
      <c r="FU84" s="16"/>
      <c r="FV84" s="16"/>
      <c r="FX84" s="14"/>
    </row>
    <row r="85" spans="8:180" ht="15.95" customHeight="1">
      <c r="H85" s="14">
        <v>4</v>
      </c>
      <c r="I85" s="5" t="str">
        <f t="shared" si="25"/>
        <v>CNC program for Num</v>
      </c>
      <c r="J85" s="23" t="s">
        <v>622</v>
      </c>
      <c r="K85" s="23" t="s">
        <v>634</v>
      </c>
      <c r="L85" s="40" t="s">
        <v>1200</v>
      </c>
      <c r="M85" s="23" t="s">
        <v>249</v>
      </c>
      <c r="N85" s="23" t="s">
        <v>1403</v>
      </c>
      <c r="O85" s="5" t="s">
        <v>579</v>
      </c>
      <c r="P85" s="23" t="s">
        <v>313</v>
      </c>
      <c r="Q85" s="23" t="s">
        <v>168</v>
      </c>
      <c r="R85" s="5" t="s">
        <v>622</v>
      </c>
      <c r="S85" s="23" t="s">
        <v>58</v>
      </c>
      <c r="T85" s="5" t="s">
        <v>204</v>
      </c>
      <c r="U85" s="5" t="s">
        <v>1226</v>
      </c>
      <c r="V85" s="5" t="s">
        <v>1232</v>
      </c>
      <c r="W85" s="23" t="s">
        <v>628</v>
      </c>
      <c r="X85" s="38" t="s">
        <v>389</v>
      </c>
      <c r="Y85" s="43" t="s">
        <v>1201</v>
      </c>
      <c r="Z85" s="23" t="s">
        <v>1202</v>
      </c>
      <c r="AA85" s="46" t="s">
        <v>1203</v>
      </c>
      <c r="AB85" s="23" t="s">
        <v>1106</v>
      </c>
      <c r="AD85" s="131">
        <v>84</v>
      </c>
      <c r="AE85" s="193"/>
      <c r="AF85" s="193"/>
      <c r="AG85" s="193"/>
      <c r="AH85" s="195"/>
      <c r="AI85" s="177"/>
      <c r="AJ85" s="177"/>
      <c r="AK85" s="253"/>
      <c r="AL85" s="156"/>
      <c r="AM85" s="254"/>
      <c r="AN85" s="255"/>
      <c r="AO85" s="130"/>
      <c r="AP85" s="35" t="b">
        <f t="shared" si="17"/>
        <v>0</v>
      </c>
      <c r="AQ85" s="16">
        <f t="shared" si="18"/>
        <v>84</v>
      </c>
      <c r="AR85" s="16" t="b">
        <f t="shared" si="19"/>
        <v>0</v>
      </c>
      <c r="AS85" s="16" t="b">
        <f t="shared" si="20"/>
        <v>0</v>
      </c>
      <c r="AT85" s="16" t="b">
        <f t="shared" si="21"/>
        <v>0</v>
      </c>
      <c r="AU85" s="16" t="b">
        <f t="shared" si="22"/>
        <v>0</v>
      </c>
      <c r="BJ85" s="19"/>
      <c r="BK85" s="18"/>
      <c r="BV85" s="8"/>
      <c r="BY85" s="23" t="str">
        <f t="shared" si="24"/>
        <v/>
      </c>
      <c r="CL85" s="26"/>
      <c r="CM85" s="14"/>
      <c r="CN85" s="14"/>
      <c r="CO85" s="14"/>
      <c r="CP85" s="14"/>
      <c r="CQ85" s="14"/>
      <c r="CR85" s="14"/>
      <c r="CW85" s="14"/>
      <c r="DA85" s="26"/>
      <c r="DB85" s="14"/>
      <c r="DC85" s="14"/>
      <c r="DD85" s="14"/>
      <c r="DE85" s="14"/>
      <c r="DF85" s="14"/>
      <c r="DG85" s="14"/>
      <c r="DP85" s="26"/>
      <c r="FG85" s="26"/>
      <c r="FH85" s="14"/>
      <c r="FI85" s="14"/>
      <c r="FJ85" s="14"/>
      <c r="FK85" s="14"/>
      <c r="FL85" s="14"/>
      <c r="FM85" s="14"/>
      <c r="FP85" s="26"/>
      <c r="FQ85" s="14"/>
      <c r="FR85" s="14"/>
      <c r="FS85" s="14"/>
      <c r="FT85" s="14"/>
      <c r="FU85" s="14"/>
      <c r="FV85" s="14"/>
      <c r="FX85" s="14"/>
    </row>
    <row r="86" spans="8:180" ht="15.95" customHeight="1">
      <c r="H86" s="14">
        <v>5</v>
      </c>
      <c r="I86" s="5" t="str">
        <f t="shared" si="25"/>
        <v>CNC program for Fagor</v>
      </c>
      <c r="J86" s="23" t="s">
        <v>623</v>
      </c>
      <c r="K86" s="23" t="s">
        <v>1398</v>
      </c>
      <c r="L86" s="40" t="s">
        <v>1204</v>
      </c>
      <c r="M86" s="23" t="s">
        <v>250</v>
      </c>
      <c r="N86" s="23" t="s">
        <v>1368</v>
      </c>
      <c r="O86" s="5" t="s">
        <v>580</v>
      </c>
      <c r="P86" s="23" t="s">
        <v>1084</v>
      </c>
      <c r="Q86" s="23" t="s">
        <v>169</v>
      </c>
      <c r="R86" s="5" t="s">
        <v>623</v>
      </c>
      <c r="S86" s="23" t="s">
        <v>1290</v>
      </c>
      <c r="T86" s="5" t="s">
        <v>205</v>
      </c>
      <c r="U86" s="5" t="s">
        <v>663</v>
      </c>
      <c r="V86" s="5" t="s">
        <v>1233</v>
      </c>
      <c r="W86" s="23" t="s">
        <v>765</v>
      </c>
      <c r="X86" s="38" t="s">
        <v>210</v>
      </c>
      <c r="Y86" s="43" t="s">
        <v>1205</v>
      </c>
      <c r="Z86" s="23" t="s">
        <v>1206</v>
      </c>
      <c r="AA86" s="46" t="s">
        <v>1207</v>
      </c>
      <c r="AB86" s="23" t="s">
        <v>1107</v>
      </c>
      <c r="AD86" s="131">
        <v>85</v>
      </c>
      <c r="AE86" s="193"/>
      <c r="AF86" s="193"/>
      <c r="AG86" s="193"/>
      <c r="AH86" s="195"/>
      <c r="AI86" s="177"/>
      <c r="AJ86" s="177"/>
      <c r="AK86" s="253"/>
      <c r="AL86" s="156"/>
      <c r="AM86" s="254"/>
      <c r="AN86" s="255"/>
      <c r="AO86" s="130"/>
      <c r="AP86" s="35" t="b">
        <f t="shared" si="17"/>
        <v>0</v>
      </c>
      <c r="AQ86" s="16">
        <f t="shared" si="18"/>
        <v>85</v>
      </c>
      <c r="AR86" s="16" t="b">
        <f t="shared" si="19"/>
        <v>0</v>
      </c>
      <c r="AS86" s="16" t="b">
        <f t="shared" si="20"/>
        <v>0</v>
      </c>
      <c r="AT86" s="16" t="b">
        <f t="shared" si="21"/>
        <v>0</v>
      </c>
      <c r="AU86" s="16" t="b">
        <f t="shared" si="22"/>
        <v>0</v>
      </c>
      <c r="BJ86" s="19"/>
      <c r="BK86" s="18"/>
      <c r="BY86" s="23" t="str">
        <f t="shared" si="24"/>
        <v/>
      </c>
      <c r="CL86" s="26"/>
      <c r="CM86" s="14"/>
      <c r="CN86" s="14"/>
      <c r="CO86" s="14"/>
      <c r="CP86" s="14"/>
      <c r="CQ86" s="14"/>
      <c r="CR86" s="14"/>
      <c r="CW86" s="14"/>
      <c r="DA86" s="26"/>
      <c r="DB86" s="14"/>
      <c r="DC86" s="14"/>
      <c r="DD86" s="14"/>
      <c r="DE86" s="14"/>
      <c r="DF86" s="14"/>
      <c r="DG86" s="14"/>
      <c r="FG86" s="26"/>
      <c r="FH86" s="14"/>
      <c r="FI86" s="14"/>
      <c r="FJ86" s="14"/>
      <c r="FK86" s="14"/>
      <c r="FL86" s="14"/>
      <c r="FM86" s="14"/>
      <c r="FP86" s="26"/>
      <c r="FQ86" s="14"/>
      <c r="FR86" s="14"/>
      <c r="FS86" s="14"/>
      <c r="FT86" s="14"/>
      <c r="FU86" s="14"/>
      <c r="FV86" s="14"/>
      <c r="FX86" s="14"/>
    </row>
    <row r="87" spans="8:180" ht="15.95" customHeight="1">
      <c r="H87" s="14">
        <v>6</v>
      </c>
      <c r="I87" s="5" t="str">
        <f t="shared" si="25"/>
        <v>CNC program for Mazak</v>
      </c>
      <c r="J87" s="23" t="s">
        <v>548</v>
      </c>
      <c r="K87" s="23" t="s">
        <v>280</v>
      </c>
      <c r="L87" s="40" t="s">
        <v>1208</v>
      </c>
      <c r="M87" s="23" t="s">
        <v>251</v>
      </c>
      <c r="N87" s="23" t="s">
        <v>595</v>
      </c>
      <c r="O87" s="5" t="s">
        <v>581</v>
      </c>
      <c r="P87" s="23" t="s">
        <v>1085</v>
      </c>
      <c r="Q87" s="23" t="s">
        <v>170</v>
      </c>
      <c r="R87" s="5" t="s">
        <v>14</v>
      </c>
      <c r="S87" s="23" t="s">
        <v>1291</v>
      </c>
      <c r="T87" s="5" t="s">
        <v>206</v>
      </c>
      <c r="U87" s="5" t="s">
        <v>664</v>
      </c>
      <c r="V87" s="5" t="s">
        <v>1234</v>
      </c>
      <c r="W87" s="23" t="s">
        <v>766</v>
      </c>
      <c r="X87" s="38" t="s">
        <v>211</v>
      </c>
      <c r="Y87" s="43" t="s">
        <v>1209</v>
      </c>
      <c r="Z87" s="23" t="s">
        <v>1210</v>
      </c>
      <c r="AA87" s="46" t="s">
        <v>1211</v>
      </c>
      <c r="AB87" s="23" t="s">
        <v>1108</v>
      </c>
      <c r="AD87" s="131">
        <v>86</v>
      </c>
      <c r="AE87" s="193"/>
      <c r="AF87" s="193"/>
      <c r="AG87" s="193"/>
      <c r="AH87" s="195"/>
      <c r="AI87" s="177"/>
      <c r="AJ87" s="177"/>
      <c r="AK87" s="253"/>
      <c r="AL87" s="156"/>
      <c r="AM87" s="254"/>
      <c r="AN87" s="255"/>
      <c r="AO87" s="130"/>
      <c r="AP87" s="35" t="b">
        <f t="shared" si="17"/>
        <v>0</v>
      </c>
      <c r="AQ87" s="16">
        <f t="shared" si="18"/>
        <v>86</v>
      </c>
      <c r="AR87" s="16" t="b">
        <f t="shared" si="19"/>
        <v>0</v>
      </c>
      <c r="AS87" s="16" t="b">
        <f t="shared" si="20"/>
        <v>0</v>
      </c>
      <c r="AT87" s="16" t="b">
        <f t="shared" si="21"/>
        <v>0</v>
      </c>
      <c r="AU87" s="16" t="b">
        <f t="shared" si="22"/>
        <v>0</v>
      </c>
      <c r="BJ87" s="19"/>
      <c r="BK87" s="18"/>
      <c r="BV87" s="8">
        <v>29</v>
      </c>
      <c r="BW87" s="54" t="str">
        <f>LOOKUP(BT$54,BX$2:CK$2,BX87:CK87)</f>
        <v/>
      </c>
      <c r="BY87" s="23" t="str">
        <f t="shared" si="24"/>
        <v/>
      </c>
      <c r="CL87" s="25"/>
      <c r="CM87" s="16"/>
      <c r="CN87" s="14"/>
      <c r="CO87" s="16"/>
      <c r="CP87" s="16"/>
      <c r="CQ87" s="16"/>
      <c r="CR87" s="16"/>
      <c r="CW87" s="14"/>
      <c r="DC87" s="14"/>
      <c r="FG87" s="25"/>
      <c r="FH87" s="16"/>
      <c r="FI87" s="14"/>
      <c r="FJ87" s="16"/>
      <c r="FK87" s="16"/>
      <c r="FL87" s="16"/>
      <c r="FM87" s="16"/>
      <c r="FP87" s="25"/>
      <c r="FQ87" s="16"/>
      <c r="FR87" s="14"/>
      <c r="FS87" s="16"/>
      <c r="FT87" s="16"/>
      <c r="FU87" s="16"/>
      <c r="FV87" s="16"/>
      <c r="FX87" s="14"/>
    </row>
    <row r="88" spans="8:180" ht="15.95" customHeight="1">
      <c r="H88" s="14">
        <v>7</v>
      </c>
      <c r="I88" s="5" t="str">
        <f t="shared" si="25"/>
        <v>CNC program for Mitsubishi</v>
      </c>
      <c r="J88" s="23" t="s">
        <v>534</v>
      </c>
      <c r="K88" s="23" t="s">
        <v>124</v>
      </c>
      <c r="L88" s="40" t="s">
        <v>1212</v>
      </c>
      <c r="M88" s="23" t="s">
        <v>252</v>
      </c>
      <c r="N88" s="23" t="s">
        <v>742</v>
      </c>
      <c r="O88" s="5" t="s">
        <v>582</v>
      </c>
      <c r="P88" s="23" t="s">
        <v>1083</v>
      </c>
      <c r="Q88" s="23" t="s">
        <v>171</v>
      </c>
      <c r="R88" s="5" t="s">
        <v>534</v>
      </c>
      <c r="S88" s="23" t="s">
        <v>1292</v>
      </c>
      <c r="T88" s="5" t="s">
        <v>207</v>
      </c>
      <c r="U88" s="5" t="s">
        <v>665</v>
      </c>
      <c r="V88" s="5" t="s">
        <v>1235</v>
      </c>
      <c r="W88" s="23" t="s">
        <v>1439</v>
      </c>
      <c r="X88" s="38" t="s">
        <v>17</v>
      </c>
      <c r="Y88" s="43" t="s">
        <v>1213</v>
      </c>
      <c r="Z88" s="23" t="s">
        <v>1214</v>
      </c>
      <c r="AA88" s="46" t="s">
        <v>1215</v>
      </c>
      <c r="AB88" s="23" t="s">
        <v>1109</v>
      </c>
      <c r="AD88" s="131">
        <v>87</v>
      </c>
      <c r="AE88" s="193"/>
      <c r="AF88" s="193"/>
      <c r="AG88" s="193"/>
      <c r="AH88" s="195"/>
      <c r="AI88" s="177"/>
      <c r="AJ88" s="177"/>
      <c r="AK88" s="253"/>
      <c r="AL88" s="156"/>
      <c r="AM88" s="254"/>
      <c r="AN88" s="255"/>
      <c r="AO88" s="130"/>
      <c r="AP88" s="35" t="b">
        <f t="shared" si="17"/>
        <v>0</v>
      </c>
      <c r="AQ88" s="16">
        <f t="shared" si="18"/>
        <v>87</v>
      </c>
      <c r="AR88" s="16" t="b">
        <f t="shared" si="19"/>
        <v>0</v>
      </c>
      <c r="AS88" s="16" t="b">
        <f t="shared" si="20"/>
        <v>0</v>
      </c>
      <c r="AT88" s="16" t="b">
        <f t="shared" si="21"/>
        <v>0</v>
      </c>
      <c r="AU88" s="16" t="b">
        <f t="shared" si="22"/>
        <v>0</v>
      </c>
      <c r="BJ88" s="19"/>
      <c r="BK88" s="18"/>
      <c r="BY88" s="23" t="str">
        <f t="shared" si="24"/>
        <v/>
      </c>
      <c r="CL88" s="26"/>
      <c r="CM88" s="14"/>
      <c r="CN88" s="14"/>
      <c r="CO88" s="14"/>
      <c r="CP88" s="14"/>
      <c r="CQ88" s="16"/>
      <c r="CR88" s="16"/>
      <c r="CW88" s="14"/>
      <c r="DA88" s="26"/>
      <c r="DB88" s="14"/>
      <c r="DC88" s="14"/>
      <c r="DD88" s="14"/>
      <c r="DE88" s="14"/>
      <c r="DP88" s="26"/>
      <c r="FG88" s="26"/>
      <c r="FH88" s="14"/>
      <c r="FI88" s="14"/>
      <c r="FJ88" s="14"/>
      <c r="FK88" s="14"/>
      <c r="FL88" s="16"/>
      <c r="FM88" s="16"/>
      <c r="FP88" s="26"/>
      <c r="FQ88" s="14"/>
      <c r="FR88" s="14"/>
      <c r="FS88" s="14"/>
      <c r="FT88" s="14"/>
      <c r="FU88" s="16"/>
      <c r="FV88" s="16"/>
      <c r="FX88" s="14"/>
    </row>
    <row r="89" spans="8:180" ht="15.95" customHeight="1">
      <c r="X89" s="38"/>
      <c r="AA89" s="46"/>
      <c r="AD89" s="131">
        <v>88</v>
      </c>
      <c r="AE89" s="193"/>
      <c r="AF89" s="193"/>
      <c r="AG89" s="193"/>
      <c r="AH89" s="195"/>
      <c r="AI89" s="155"/>
      <c r="AJ89" s="177"/>
      <c r="AK89" s="128"/>
      <c r="AL89" s="156"/>
      <c r="AM89" s="194"/>
      <c r="AN89" s="178"/>
      <c r="AO89" s="130"/>
      <c r="AP89" s="35" t="b">
        <f t="shared" si="17"/>
        <v>0</v>
      </c>
      <c r="AQ89" s="16">
        <f t="shared" si="18"/>
        <v>88</v>
      </c>
      <c r="AR89" s="16" t="b">
        <f t="shared" si="19"/>
        <v>0</v>
      </c>
      <c r="AS89" s="16" t="b">
        <f t="shared" si="20"/>
        <v>0</v>
      </c>
      <c r="AT89" s="16" t="b">
        <f t="shared" si="21"/>
        <v>0</v>
      </c>
      <c r="AU89" s="16" t="b">
        <f t="shared" si="22"/>
        <v>0</v>
      </c>
      <c r="BJ89" s="19"/>
      <c r="BK89" s="18"/>
      <c r="BY89" s="23" t="str">
        <f t="shared" si="24"/>
        <v/>
      </c>
      <c r="CL89" s="26"/>
      <c r="CM89" s="14"/>
      <c r="CN89" s="14"/>
      <c r="CO89" s="14"/>
      <c r="CP89" s="14"/>
      <c r="CQ89" s="14"/>
      <c r="CR89" s="14"/>
      <c r="CW89" s="14"/>
      <c r="DA89" s="26"/>
      <c r="DB89" s="14"/>
      <c r="DC89" s="14"/>
      <c r="DD89" s="14"/>
      <c r="DE89" s="14"/>
      <c r="DF89" s="14"/>
      <c r="DG89" s="14"/>
      <c r="FG89" s="26"/>
      <c r="FH89" s="14"/>
      <c r="FI89" s="14"/>
      <c r="FJ89" s="14"/>
      <c r="FK89" s="14"/>
      <c r="FL89" s="14"/>
      <c r="FM89" s="14"/>
      <c r="FP89" s="26"/>
      <c r="FQ89" s="14"/>
      <c r="FR89" s="14"/>
      <c r="FS89" s="14"/>
      <c r="FT89" s="14"/>
      <c r="FU89" s="14"/>
      <c r="FV89" s="14"/>
      <c r="FX89" s="14"/>
    </row>
    <row r="90" spans="8:180" ht="15.95" customHeight="1">
      <c r="X90" s="38"/>
      <c r="AA90" s="46"/>
      <c r="AD90" s="131">
        <v>89</v>
      </c>
      <c r="AE90" s="193"/>
      <c r="AF90" s="193"/>
      <c r="AG90" s="193"/>
      <c r="AH90" s="195"/>
      <c r="AI90" s="155"/>
      <c r="AJ90" s="177"/>
      <c r="AK90" s="128"/>
      <c r="AL90" s="156"/>
      <c r="AM90" s="194"/>
      <c r="AN90" s="178"/>
      <c r="AO90" s="130"/>
      <c r="AP90" s="35" t="b">
        <f t="shared" si="17"/>
        <v>0</v>
      </c>
      <c r="AQ90" s="16">
        <f t="shared" si="18"/>
        <v>89</v>
      </c>
      <c r="AR90" s="16" t="b">
        <f t="shared" si="19"/>
        <v>0</v>
      </c>
      <c r="AS90" s="16" t="b">
        <f t="shared" si="20"/>
        <v>0</v>
      </c>
      <c r="AT90" s="16" t="b">
        <f t="shared" si="21"/>
        <v>0</v>
      </c>
      <c r="AU90" s="16" t="b">
        <f t="shared" si="22"/>
        <v>0</v>
      </c>
      <c r="BJ90" s="19"/>
      <c r="BK90" s="18"/>
      <c r="BV90" s="8">
        <v>30</v>
      </c>
      <c r="BW90" s="54" t="str">
        <f>LOOKUP(BT$54,BX$2:CK$2,BX90:CK90)</f>
        <v/>
      </c>
      <c r="BY90" s="23" t="str">
        <f t="shared" si="24"/>
        <v/>
      </c>
      <c r="CL90" s="25"/>
      <c r="CM90" s="16"/>
      <c r="CN90" s="14"/>
      <c r="CO90" s="16"/>
      <c r="CP90" s="16"/>
      <c r="CQ90" s="16"/>
      <c r="CR90" s="16"/>
      <c r="CW90" s="14"/>
      <c r="DC90" s="14"/>
      <c r="FG90" s="25"/>
      <c r="FH90" s="16"/>
      <c r="FI90" s="14"/>
      <c r="FJ90" s="16"/>
      <c r="FK90" s="16"/>
      <c r="FL90" s="16"/>
      <c r="FM90" s="16"/>
      <c r="FP90" s="25"/>
      <c r="FQ90" s="16"/>
      <c r="FR90" s="14"/>
      <c r="FS90" s="16"/>
      <c r="FT90" s="16"/>
      <c r="FU90" s="16"/>
      <c r="FV90" s="16"/>
      <c r="FX90" s="14"/>
    </row>
    <row r="91" spans="8:180" ht="15.95" customHeight="1">
      <c r="I91" s="5" t="str">
        <f>LOOKUP(H$27,J$2:AB$2,J91:AB91)</f>
        <v>Thread Milling</v>
      </c>
      <c r="J91" s="5" t="s">
        <v>754</v>
      </c>
      <c r="K91" s="5" t="s">
        <v>125</v>
      </c>
      <c r="L91" s="40" t="s">
        <v>1216</v>
      </c>
      <c r="M91" s="23" t="s">
        <v>253</v>
      </c>
      <c r="N91" s="5" t="s">
        <v>126</v>
      </c>
      <c r="O91" s="5" t="s">
        <v>583</v>
      </c>
      <c r="P91" s="23" t="s">
        <v>1125</v>
      </c>
      <c r="Q91" s="5" t="s">
        <v>172</v>
      </c>
      <c r="R91" s="5" t="s">
        <v>15</v>
      </c>
      <c r="S91" s="23" t="s">
        <v>1293</v>
      </c>
      <c r="T91" s="5" t="s">
        <v>208</v>
      </c>
      <c r="U91" s="5" t="s">
        <v>666</v>
      </c>
      <c r="V91" s="5" t="s">
        <v>1236</v>
      </c>
      <c r="W91" s="5" t="s">
        <v>1389</v>
      </c>
      <c r="X91" s="38" t="s">
        <v>472</v>
      </c>
      <c r="Y91" s="43" t="s">
        <v>276</v>
      </c>
      <c r="Z91" s="39" t="s">
        <v>277</v>
      </c>
      <c r="AA91" s="45" t="s">
        <v>1217</v>
      </c>
      <c r="AB91" s="23" t="s">
        <v>270</v>
      </c>
      <c r="AD91" s="131">
        <v>90</v>
      </c>
      <c r="AE91" s="193"/>
      <c r="AF91" s="193"/>
      <c r="AG91" s="193"/>
      <c r="AH91" s="195"/>
      <c r="AI91" s="155"/>
      <c r="AJ91" s="177"/>
      <c r="AK91" s="128"/>
      <c r="AL91" s="156"/>
      <c r="AM91" s="194"/>
      <c r="AN91" s="178"/>
      <c r="AO91" s="130"/>
      <c r="AP91" s="35" t="b">
        <f t="shared" si="17"/>
        <v>0</v>
      </c>
      <c r="AQ91" s="16">
        <f t="shared" si="18"/>
        <v>90</v>
      </c>
      <c r="AR91" s="16" t="b">
        <f t="shared" si="19"/>
        <v>0</v>
      </c>
      <c r="AS91" s="16" t="b">
        <f t="shared" si="20"/>
        <v>0</v>
      </c>
      <c r="AT91" s="16" t="b">
        <f t="shared" si="21"/>
        <v>0</v>
      </c>
      <c r="AU91" s="16" t="b">
        <f t="shared" si="22"/>
        <v>0</v>
      </c>
      <c r="BJ91" s="19"/>
      <c r="BK91" s="18"/>
      <c r="BV91" s="8"/>
      <c r="BY91" s="23" t="str">
        <f t="shared" si="24"/>
        <v/>
      </c>
      <c r="CL91" s="26"/>
      <c r="CM91" s="14"/>
      <c r="CN91" s="14"/>
      <c r="CO91" s="14"/>
      <c r="CP91" s="16"/>
      <c r="CQ91" s="14"/>
      <c r="CR91" s="14"/>
      <c r="CW91" s="14"/>
      <c r="DA91" s="26"/>
      <c r="DB91" s="14"/>
      <c r="DC91" s="14"/>
      <c r="DD91" s="14"/>
      <c r="DF91" s="14"/>
      <c r="DG91" s="14"/>
      <c r="EE91" s="26"/>
      <c r="FG91" s="26"/>
      <c r="FH91" s="14"/>
      <c r="FI91" s="14"/>
      <c r="FJ91" s="14"/>
      <c r="FK91" s="16"/>
      <c r="FL91" s="14"/>
      <c r="FM91" s="14"/>
      <c r="FP91" s="26"/>
      <c r="FQ91" s="14"/>
      <c r="FR91" s="14"/>
      <c r="FS91" s="14"/>
      <c r="FT91" s="16"/>
      <c r="FU91" s="14"/>
      <c r="FV91" s="14"/>
      <c r="FX91" s="14"/>
    </row>
    <row r="92" spans="8:180" ht="15.95" customHeight="1">
      <c r="X92" s="38"/>
      <c r="AA92" s="46"/>
      <c r="AD92" s="131">
        <v>91</v>
      </c>
      <c r="AE92" s="193"/>
      <c r="AF92" s="193"/>
      <c r="AG92" s="193"/>
      <c r="AH92" s="195"/>
      <c r="AI92" s="155"/>
      <c r="AJ92" s="177"/>
      <c r="AK92" s="128"/>
      <c r="AL92" s="156"/>
      <c r="AM92" s="194"/>
      <c r="AN92" s="178"/>
      <c r="AO92" s="130"/>
      <c r="AP92" s="35" t="b">
        <f t="shared" si="17"/>
        <v>0</v>
      </c>
      <c r="AQ92" s="16">
        <f t="shared" si="18"/>
        <v>91</v>
      </c>
      <c r="AR92" s="16" t="b">
        <f t="shared" si="19"/>
        <v>0</v>
      </c>
      <c r="AS92" s="16" t="b">
        <f t="shared" si="20"/>
        <v>0</v>
      </c>
      <c r="AT92" s="16" t="b">
        <f t="shared" si="21"/>
        <v>0</v>
      </c>
      <c r="AU92" s="16" t="b">
        <f t="shared" si="22"/>
        <v>0</v>
      </c>
      <c r="BJ92" s="19"/>
      <c r="BK92" s="18"/>
      <c r="BY92" s="23" t="str">
        <f t="shared" si="24"/>
        <v/>
      </c>
      <c r="CL92" s="26"/>
      <c r="CM92" s="14"/>
      <c r="CN92" s="14"/>
      <c r="CO92" s="14"/>
      <c r="CP92" s="14"/>
      <c r="CQ92" s="14"/>
      <c r="CR92" s="14"/>
      <c r="CW92" s="14"/>
      <c r="DA92" s="26"/>
      <c r="DB92" s="14"/>
      <c r="DC92" s="14"/>
      <c r="DD92" s="14"/>
      <c r="DE92" s="14"/>
      <c r="DF92" s="14"/>
      <c r="DG92" s="14"/>
      <c r="FG92" s="26"/>
      <c r="FH92" s="14"/>
      <c r="FI92" s="14"/>
      <c r="FJ92" s="14"/>
      <c r="FK92" s="14"/>
      <c r="FL92" s="14"/>
      <c r="FM92" s="14"/>
      <c r="FP92" s="26"/>
      <c r="FQ92" s="14"/>
      <c r="FR92" s="14"/>
      <c r="FS92" s="14"/>
      <c r="FT92" s="14"/>
      <c r="FU92" s="14"/>
      <c r="FV92" s="14"/>
      <c r="FX92" s="14"/>
    </row>
    <row r="93" spans="8:180" ht="15.95" customHeight="1">
      <c r="I93" s="5" t="str">
        <f>LOOKUP(H$27,J$2:AB$2,J93:AB93)</f>
        <v>Please read before use!</v>
      </c>
      <c r="J93" s="5" t="s">
        <v>138</v>
      </c>
      <c r="K93" s="5" t="s">
        <v>1438</v>
      </c>
      <c r="L93" s="40" t="s">
        <v>1218</v>
      </c>
      <c r="M93" s="5" t="s">
        <v>254</v>
      </c>
      <c r="N93" s="5" t="s">
        <v>591</v>
      </c>
      <c r="O93" s="5" t="s">
        <v>584</v>
      </c>
      <c r="P93" s="5" t="s">
        <v>1126</v>
      </c>
      <c r="Q93" s="5" t="s">
        <v>337</v>
      </c>
      <c r="R93" s="5" t="s">
        <v>16</v>
      </c>
      <c r="S93" s="5" t="s">
        <v>1294</v>
      </c>
      <c r="T93" s="5" t="s">
        <v>209</v>
      </c>
      <c r="U93" s="5" t="s">
        <v>667</v>
      </c>
      <c r="V93" s="5" t="s">
        <v>1237</v>
      </c>
      <c r="W93" s="5" t="s">
        <v>592</v>
      </c>
      <c r="X93" s="38" t="s">
        <v>382</v>
      </c>
      <c r="Y93" s="43" t="s">
        <v>1219</v>
      </c>
      <c r="Z93" s="39" t="s">
        <v>1220</v>
      </c>
      <c r="AA93" s="45" t="s">
        <v>1221</v>
      </c>
      <c r="AB93" s="5" t="s">
        <v>1070</v>
      </c>
      <c r="AD93" s="131">
        <v>92</v>
      </c>
      <c r="AE93" s="193"/>
      <c r="AF93" s="193"/>
      <c r="AG93" s="193"/>
      <c r="AH93" s="195"/>
      <c r="AI93" s="155"/>
      <c r="AJ93" s="177"/>
      <c r="AK93" s="128"/>
      <c r="AL93" s="156"/>
      <c r="AM93" s="194"/>
      <c r="AN93" s="178"/>
      <c r="AO93" s="130"/>
      <c r="AP93" s="35" t="b">
        <f t="shared" si="17"/>
        <v>0</v>
      </c>
      <c r="AQ93" s="16">
        <f t="shared" si="18"/>
        <v>92</v>
      </c>
      <c r="AR93" s="16" t="b">
        <f t="shared" si="19"/>
        <v>0</v>
      </c>
      <c r="AS93" s="16" t="b">
        <f t="shared" si="20"/>
        <v>0</v>
      </c>
      <c r="AT93" s="16" t="b">
        <f t="shared" si="21"/>
        <v>0</v>
      </c>
      <c r="AU93" s="16" t="b">
        <f t="shared" si="22"/>
        <v>0</v>
      </c>
      <c r="BJ93" s="19"/>
      <c r="BK93" s="18"/>
      <c r="BV93" s="8">
        <v>31</v>
      </c>
      <c r="BW93" s="54" t="str">
        <f>LOOKUP(BT$54,BX$2:CK$2,BX93:CK93)</f>
        <v/>
      </c>
      <c r="BY93" s="23" t="str">
        <f t="shared" si="24"/>
        <v/>
      </c>
      <c r="CL93" s="25"/>
      <c r="CM93" s="16"/>
      <c r="CN93" s="14"/>
      <c r="CO93" s="16"/>
      <c r="CP93" s="16"/>
      <c r="CQ93" s="16"/>
      <c r="CR93" s="16"/>
      <c r="CW93" s="14"/>
      <c r="DC93" s="10"/>
      <c r="FG93" s="25"/>
      <c r="FH93" s="16"/>
      <c r="FI93" s="14"/>
      <c r="FJ93" s="16"/>
      <c r="FK93" s="16"/>
      <c r="FL93" s="16"/>
      <c r="FM93" s="16"/>
      <c r="FP93" s="25"/>
      <c r="FQ93" s="16"/>
      <c r="FR93" s="14"/>
      <c r="FS93" s="16"/>
      <c r="FT93" s="16"/>
      <c r="FU93" s="16"/>
      <c r="FV93" s="16"/>
      <c r="FX93" s="14"/>
    </row>
    <row r="94" spans="8:180" ht="15.95" customHeight="1">
      <c r="AD94" s="131">
        <v>93</v>
      </c>
      <c r="AE94" s="193"/>
      <c r="AF94" s="193"/>
      <c r="AG94" s="193"/>
      <c r="AH94" s="195"/>
      <c r="AI94" s="155"/>
      <c r="AJ94" s="177"/>
      <c r="AK94" s="128"/>
      <c r="AL94" s="156"/>
      <c r="AM94" s="194"/>
      <c r="AN94" s="178"/>
      <c r="AO94" s="130"/>
      <c r="AP94" s="35" t="b">
        <f t="shared" si="17"/>
        <v>0</v>
      </c>
      <c r="AQ94" s="16">
        <f t="shared" si="18"/>
        <v>93</v>
      </c>
      <c r="AR94" s="16" t="b">
        <f t="shared" si="19"/>
        <v>0</v>
      </c>
      <c r="AS94" s="16" t="b">
        <f t="shared" si="20"/>
        <v>0</v>
      </c>
      <c r="AT94" s="16" t="b">
        <f t="shared" si="21"/>
        <v>0</v>
      </c>
      <c r="AU94" s="16" t="b">
        <f t="shared" si="22"/>
        <v>0</v>
      </c>
      <c r="BJ94" s="19"/>
      <c r="BK94" s="18"/>
      <c r="BY94" s="23" t="str">
        <f t="shared" si="24"/>
        <v/>
      </c>
      <c r="CL94" s="26"/>
      <c r="CM94" s="14"/>
      <c r="CN94" s="14"/>
      <c r="CO94" s="14"/>
      <c r="CP94" s="14"/>
      <c r="CQ94" s="16"/>
      <c r="CR94" s="16"/>
      <c r="CW94" s="14"/>
      <c r="DA94" s="26"/>
      <c r="DB94" s="14"/>
      <c r="DC94" s="14"/>
      <c r="DD94" s="14"/>
      <c r="DE94" s="14"/>
      <c r="FG94" s="26"/>
      <c r="FH94" s="14"/>
      <c r="FI94" s="14"/>
      <c r="FJ94" s="14"/>
      <c r="FK94" s="14"/>
      <c r="FL94" s="16"/>
      <c r="FM94" s="16"/>
      <c r="FP94" s="26"/>
      <c r="FQ94" s="14"/>
      <c r="FR94" s="14"/>
      <c r="FS94" s="14"/>
      <c r="FT94" s="14"/>
      <c r="FU94" s="16"/>
      <c r="FV94" s="16"/>
      <c r="FX94" s="14"/>
    </row>
    <row r="95" spans="8:180" ht="15.95" customHeight="1">
      <c r="AD95" s="131">
        <v>94</v>
      </c>
      <c r="AE95" s="193"/>
      <c r="AF95" s="193"/>
      <c r="AG95" s="193"/>
      <c r="AH95" s="195"/>
      <c r="AI95" s="155"/>
      <c r="AJ95" s="177"/>
      <c r="AK95" s="128"/>
      <c r="AL95" s="156"/>
      <c r="AM95" s="194"/>
      <c r="AN95" s="178"/>
      <c r="AO95" s="130"/>
      <c r="AP95" s="35" t="b">
        <f t="shared" si="17"/>
        <v>0</v>
      </c>
      <c r="AQ95" s="16">
        <f t="shared" si="18"/>
        <v>94</v>
      </c>
      <c r="AR95" s="16" t="b">
        <f t="shared" si="19"/>
        <v>0</v>
      </c>
      <c r="AS95" s="16" t="b">
        <f t="shared" si="20"/>
        <v>0</v>
      </c>
      <c r="AT95" s="16" t="b">
        <f t="shared" si="21"/>
        <v>0</v>
      </c>
      <c r="AU95" s="16" t="b">
        <f t="shared" si="22"/>
        <v>0</v>
      </c>
      <c r="BJ95" s="19"/>
      <c r="BK95" s="18"/>
      <c r="BY95" s="23" t="str">
        <f t="shared" si="24"/>
        <v/>
      </c>
      <c r="CL95" s="27"/>
      <c r="CM95" s="14"/>
      <c r="CN95" s="14"/>
      <c r="CO95" s="14"/>
      <c r="CP95" s="14"/>
      <c r="CQ95" s="14"/>
      <c r="CR95" s="14"/>
      <c r="CW95" s="14"/>
      <c r="DA95" s="27"/>
      <c r="DB95" s="14"/>
      <c r="DC95" s="14"/>
      <c r="DD95" s="14"/>
      <c r="DE95" s="14"/>
      <c r="DF95" s="14"/>
      <c r="DG95" s="14"/>
      <c r="FG95" s="27"/>
      <c r="FH95" s="14"/>
      <c r="FI95" s="14"/>
      <c r="FJ95" s="14"/>
      <c r="FK95" s="14"/>
      <c r="FL95" s="14"/>
      <c r="FM95" s="14"/>
      <c r="FP95" s="27"/>
      <c r="FQ95" s="14"/>
      <c r="FR95" s="14"/>
      <c r="FS95" s="14"/>
      <c r="FT95" s="14"/>
      <c r="FU95" s="14"/>
      <c r="FV95" s="14"/>
      <c r="FX95" s="14"/>
    </row>
    <row r="96" spans="8:180" ht="15.95" customHeight="1">
      <c r="I96" s="5" t="str">
        <f>LOOKUP(H$27,J$2:AB$2,J96:AB96)</f>
        <v>Thread Milling</v>
      </c>
      <c r="J96" s="5" t="s">
        <v>1222</v>
      </c>
      <c r="K96" s="5" t="s">
        <v>125</v>
      </c>
      <c r="L96" s="40" t="s">
        <v>1216</v>
      </c>
      <c r="M96" s="23" t="s">
        <v>253</v>
      </c>
      <c r="N96" s="5" t="s">
        <v>126</v>
      </c>
      <c r="O96" s="5" t="s">
        <v>583</v>
      </c>
      <c r="P96" s="23" t="s">
        <v>1125</v>
      </c>
      <c r="Q96" s="5" t="s">
        <v>172</v>
      </c>
      <c r="R96" s="5" t="s">
        <v>15</v>
      </c>
      <c r="S96" s="23" t="s">
        <v>1293</v>
      </c>
      <c r="T96" s="5" t="s">
        <v>208</v>
      </c>
      <c r="U96" s="5" t="s">
        <v>666</v>
      </c>
      <c r="V96" s="5" t="s">
        <v>1236</v>
      </c>
      <c r="W96" s="5" t="s">
        <v>1389</v>
      </c>
      <c r="X96" s="38" t="s">
        <v>472</v>
      </c>
      <c r="Y96" s="43" t="s">
        <v>276</v>
      </c>
      <c r="Z96" s="39" t="s">
        <v>277</v>
      </c>
      <c r="AA96" s="45" t="s">
        <v>1217</v>
      </c>
      <c r="AB96" s="23" t="s">
        <v>270</v>
      </c>
      <c r="AD96" s="131">
        <v>95</v>
      </c>
      <c r="AE96" s="193"/>
      <c r="AF96" s="193"/>
      <c r="AG96" s="193"/>
      <c r="AH96" s="195"/>
      <c r="AI96" s="155"/>
      <c r="AJ96" s="177"/>
      <c r="AK96" s="128"/>
      <c r="AL96" s="156"/>
      <c r="AM96" s="194"/>
      <c r="AN96" s="178"/>
      <c r="AO96" s="130"/>
      <c r="AP96" s="35" t="b">
        <f t="shared" si="17"/>
        <v>0</v>
      </c>
      <c r="AQ96" s="16">
        <f t="shared" si="18"/>
        <v>95</v>
      </c>
      <c r="AR96" s="16" t="b">
        <f t="shared" si="19"/>
        <v>0</v>
      </c>
      <c r="AS96" s="16" t="b">
        <f t="shared" si="20"/>
        <v>0</v>
      </c>
      <c r="AT96" s="16" t="b">
        <f t="shared" si="21"/>
        <v>0</v>
      </c>
      <c r="AU96" s="16" t="b">
        <f t="shared" si="22"/>
        <v>0</v>
      </c>
      <c r="BJ96" s="19"/>
      <c r="BK96" s="18"/>
      <c r="BV96" s="8">
        <v>32</v>
      </c>
      <c r="BW96" s="54" t="str">
        <f>LOOKUP(BT$54,BX$2:CK$2,BX96:CK96)</f>
        <v/>
      </c>
      <c r="BY96" s="23" t="str">
        <f t="shared" si="24"/>
        <v/>
      </c>
      <c r="CL96" s="25"/>
      <c r="CM96" s="16"/>
      <c r="CN96" s="14"/>
      <c r="CO96" s="16"/>
      <c r="CP96" s="16"/>
      <c r="CQ96" s="16"/>
      <c r="CR96" s="16"/>
      <c r="CW96" s="14"/>
      <c r="DC96" s="14"/>
      <c r="FG96" s="25"/>
      <c r="FH96" s="16"/>
      <c r="FI96" s="14"/>
      <c r="FJ96" s="16"/>
      <c r="FK96" s="16"/>
      <c r="FL96" s="16"/>
      <c r="FM96" s="16"/>
      <c r="FP96" s="25"/>
      <c r="FQ96" s="16"/>
      <c r="FR96" s="14"/>
      <c r="FS96" s="16"/>
      <c r="FT96" s="16"/>
      <c r="FU96" s="16"/>
      <c r="FV96" s="16"/>
      <c r="FX96" s="14"/>
    </row>
    <row r="97" spans="9:180" ht="15.95" customHeight="1">
      <c r="I97" s="5" t="str">
        <f>LOOKUP(H$27,J$2:AB$2,J97:AB97)</f>
        <v>Thread Milling and Chamfering</v>
      </c>
      <c r="J97" s="5" t="s">
        <v>1224</v>
      </c>
      <c r="K97" s="191" t="s">
        <v>274</v>
      </c>
      <c r="L97" s="40" t="s">
        <v>275</v>
      </c>
      <c r="M97" s="23" t="s">
        <v>253</v>
      </c>
      <c r="N97" s="5" t="s">
        <v>126</v>
      </c>
      <c r="O97" s="5" t="s">
        <v>583</v>
      </c>
      <c r="P97" s="23" t="s">
        <v>1125</v>
      </c>
      <c r="Q97" s="5" t="s">
        <v>172</v>
      </c>
      <c r="R97" s="5" t="s">
        <v>15</v>
      </c>
      <c r="S97" s="23" t="s">
        <v>1293</v>
      </c>
      <c r="T97" s="5" t="s">
        <v>208</v>
      </c>
      <c r="U97" s="5" t="s">
        <v>666</v>
      </c>
      <c r="V97" s="5" t="s">
        <v>1236</v>
      </c>
      <c r="W97" s="5" t="s">
        <v>1389</v>
      </c>
      <c r="X97" s="38" t="s">
        <v>472</v>
      </c>
      <c r="Y97" s="43" t="s">
        <v>276</v>
      </c>
      <c r="Z97" s="39" t="s">
        <v>277</v>
      </c>
      <c r="AA97" s="45" t="s">
        <v>1217</v>
      </c>
      <c r="AB97" s="23" t="s">
        <v>270</v>
      </c>
      <c r="AD97" s="131">
        <v>96</v>
      </c>
      <c r="AE97" s="193"/>
      <c r="AF97" s="193"/>
      <c r="AG97" s="193"/>
      <c r="AH97" s="195"/>
      <c r="AI97" s="155"/>
      <c r="AJ97" s="177"/>
      <c r="AK97" s="128"/>
      <c r="AL97" s="156"/>
      <c r="AM97" s="194"/>
      <c r="AN97" s="178"/>
      <c r="AO97" s="130"/>
      <c r="AP97" s="35" t="b">
        <f t="shared" si="17"/>
        <v>0</v>
      </c>
      <c r="AQ97" s="16">
        <f t="shared" si="18"/>
        <v>96</v>
      </c>
      <c r="AR97" s="16" t="b">
        <f t="shared" si="19"/>
        <v>0</v>
      </c>
      <c r="AS97" s="16" t="b">
        <f t="shared" si="20"/>
        <v>0</v>
      </c>
      <c r="AT97" s="16" t="b">
        <f t="shared" si="21"/>
        <v>0</v>
      </c>
      <c r="AU97" s="16" t="b">
        <f t="shared" si="22"/>
        <v>0</v>
      </c>
      <c r="BJ97" s="19"/>
      <c r="BK97" s="18"/>
      <c r="BV97" s="8"/>
      <c r="CL97" s="26"/>
      <c r="CM97" s="14"/>
      <c r="CN97" s="14"/>
      <c r="CO97" s="14"/>
      <c r="CP97" s="16"/>
      <c r="CQ97" s="14"/>
      <c r="CR97" s="14"/>
      <c r="CW97" s="14"/>
      <c r="DA97" s="26"/>
      <c r="DB97" s="14"/>
      <c r="DC97" s="14"/>
      <c r="DD97" s="14"/>
      <c r="DF97" s="14"/>
      <c r="DG97" s="14"/>
      <c r="FG97" s="26"/>
      <c r="FH97" s="14"/>
      <c r="FI97" s="14"/>
      <c r="FJ97" s="14"/>
      <c r="FK97" s="16"/>
      <c r="FL97" s="14"/>
      <c r="FM97" s="14"/>
      <c r="FP97" s="26"/>
      <c r="FQ97" s="14"/>
      <c r="FR97" s="14"/>
      <c r="FS97" s="14"/>
      <c r="FT97" s="16"/>
      <c r="FU97" s="14"/>
      <c r="FV97" s="14"/>
      <c r="FX97" s="14"/>
    </row>
    <row r="98" spans="9:180" ht="15.95" customHeight="1">
      <c r="I98" s="5" t="str">
        <f>LOOKUP(H$27,J$2:AB$2,J98:AB98)</f>
        <v>Drilling, Chamfering and Thread Milling</v>
      </c>
      <c r="J98" s="191" t="s">
        <v>278</v>
      </c>
      <c r="K98" s="5" t="s">
        <v>261</v>
      </c>
      <c r="L98" s="192" t="s">
        <v>262</v>
      </c>
      <c r="M98" s="23" t="s">
        <v>253</v>
      </c>
      <c r="N98" s="5" t="s">
        <v>126</v>
      </c>
      <c r="O98" s="5" t="s">
        <v>583</v>
      </c>
      <c r="P98" s="23" t="s">
        <v>1125</v>
      </c>
      <c r="Q98" s="5" t="s">
        <v>172</v>
      </c>
      <c r="R98" s="5" t="s">
        <v>15</v>
      </c>
      <c r="S98" s="23" t="s">
        <v>1293</v>
      </c>
      <c r="T98" s="5" t="s">
        <v>208</v>
      </c>
      <c r="U98" s="5" t="s">
        <v>666</v>
      </c>
      <c r="V98" s="5" t="s">
        <v>1236</v>
      </c>
      <c r="W98" s="5" t="s">
        <v>1389</v>
      </c>
      <c r="X98" s="38" t="s">
        <v>472</v>
      </c>
      <c r="Y98" s="43" t="s">
        <v>276</v>
      </c>
      <c r="Z98" s="39" t="s">
        <v>277</v>
      </c>
      <c r="AA98" s="45" t="s">
        <v>1217</v>
      </c>
      <c r="AB98" s="23" t="s">
        <v>270</v>
      </c>
      <c r="AD98" s="131">
        <v>97</v>
      </c>
      <c r="AE98" s="193"/>
      <c r="AF98" s="193"/>
      <c r="AG98" s="193"/>
      <c r="AH98" s="195"/>
      <c r="AI98" s="155"/>
      <c r="AJ98" s="177"/>
      <c r="AK98" s="128"/>
      <c r="AL98" s="156"/>
      <c r="AM98" s="194"/>
      <c r="AN98" s="178"/>
      <c r="AO98" s="130"/>
      <c r="AP98" s="35" t="b">
        <f t="shared" si="17"/>
        <v>0</v>
      </c>
      <c r="AQ98" s="16">
        <f t="shared" si="18"/>
        <v>97</v>
      </c>
      <c r="AR98" s="16" t="b">
        <f t="shared" si="19"/>
        <v>0</v>
      </c>
      <c r="AS98" s="16" t="b">
        <f t="shared" si="20"/>
        <v>0</v>
      </c>
      <c r="AT98" s="16" t="b">
        <f t="shared" si="21"/>
        <v>0</v>
      </c>
      <c r="AU98" s="16" t="b">
        <f t="shared" si="22"/>
        <v>0</v>
      </c>
      <c r="BJ98" s="19"/>
      <c r="BK98" s="18"/>
      <c r="CL98" s="26"/>
      <c r="CM98" s="14"/>
      <c r="CN98" s="14"/>
      <c r="CO98" s="14"/>
      <c r="CP98" s="14"/>
      <c r="CQ98" s="14"/>
      <c r="CR98" s="14"/>
      <c r="CW98" s="14"/>
      <c r="DA98" s="26"/>
      <c r="DB98" s="14"/>
      <c r="DC98" s="14"/>
      <c r="DD98" s="14"/>
      <c r="DE98" s="14"/>
      <c r="DF98" s="14"/>
      <c r="DG98" s="14"/>
      <c r="FG98" s="26"/>
      <c r="FH98" s="14"/>
      <c r="FI98" s="14"/>
      <c r="FJ98" s="14"/>
      <c r="FK98" s="14"/>
      <c r="FL98" s="14"/>
      <c r="FM98" s="14"/>
      <c r="FP98" s="26"/>
      <c r="FQ98" s="14"/>
      <c r="FR98" s="14"/>
      <c r="FS98" s="14"/>
      <c r="FT98" s="14"/>
      <c r="FU98" s="14"/>
      <c r="FV98" s="14"/>
      <c r="FX98" s="14"/>
    </row>
    <row r="99" spans="9:180" ht="15.95" customHeight="1">
      <c r="AD99" s="131">
        <v>98</v>
      </c>
      <c r="AE99" s="193"/>
      <c r="AF99" s="193"/>
      <c r="AG99" s="193"/>
      <c r="AH99" s="195"/>
      <c r="AI99" s="155"/>
      <c r="AJ99" s="177"/>
      <c r="AK99" s="128"/>
      <c r="AL99" s="156"/>
      <c r="AM99" s="194"/>
      <c r="AN99" s="178"/>
      <c r="AO99" s="130"/>
      <c r="AP99" s="35" t="b">
        <f t="shared" si="17"/>
        <v>0</v>
      </c>
      <c r="AQ99" s="16">
        <f t="shared" si="18"/>
        <v>98</v>
      </c>
      <c r="AR99" s="16" t="b">
        <f t="shared" si="19"/>
        <v>0</v>
      </c>
      <c r="AS99" s="16" t="b">
        <f t="shared" si="20"/>
        <v>0</v>
      </c>
      <c r="AT99" s="16" t="b">
        <f t="shared" si="21"/>
        <v>0</v>
      </c>
      <c r="AU99" s="16" t="b">
        <f t="shared" si="22"/>
        <v>0</v>
      </c>
      <c r="BJ99" s="19"/>
      <c r="BK99" s="18"/>
      <c r="BV99" s="8">
        <v>33</v>
      </c>
      <c r="BW99" s="54">
        <f>LOOKUP(BT$54,BX$2:CK$2,BX99:CK99)</f>
        <v>0</v>
      </c>
      <c r="CL99" s="25"/>
      <c r="CM99" s="16"/>
      <c r="CN99" s="14"/>
      <c r="CO99" s="16"/>
      <c r="CP99" s="16"/>
      <c r="CQ99" s="16"/>
      <c r="CR99" s="16"/>
      <c r="CW99" s="14"/>
      <c r="DC99" s="14"/>
      <c r="FG99" s="25"/>
      <c r="FH99" s="16"/>
      <c r="FI99" s="14"/>
      <c r="FJ99" s="16"/>
      <c r="FK99" s="16"/>
      <c r="FL99" s="16"/>
      <c r="FM99" s="16"/>
      <c r="FP99" s="25"/>
      <c r="FQ99" s="16"/>
      <c r="FR99" s="14"/>
      <c r="FS99" s="16"/>
      <c r="FT99" s="16"/>
      <c r="FU99" s="16"/>
      <c r="FV99" s="16"/>
      <c r="FX99" s="14"/>
    </row>
    <row r="100" spans="9:180" ht="15.95" customHeight="1">
      <c r="J100" s="5" t="s">
        <v>1451</v>
      </c>
      <c r="AD100" s="131">
        <v>99</v>
      </c>
      <c r="AE100" s="193"/>
      <c r="AF100" s="193"/>
      <c r="AG100" s="193"/>
      <c r="AH100" s="195"/>
      <c r="AI100" s="155"/>
      <c r="AJ100" s="177"/>
      <c r="AK100" s="128"/>
      <c r="AL100" s="156"/>
      <c r="AM100" s="194"/>
      <c r="AN100" s="178"/>
      <c r="AO100" s="130"/>
      <c r="AP100" s="35" t="b">
        <f t="shared" si="17"/>
        <v>0</v>
      </c>
      <c r="AQ100" s="16">
        <f t="shared" si="18"/>
        <v>99</v>
      </c>
      <c r="AR100" s="16" t="b">
        <f t="shared" si="19"/>
        <v>0</v>
      </c>
      <c r="AS100" s="16" t="b">
        <f t="shared" si="20"/>
        <v>0</v>
      </c>
      <c r="AT100" s="16" t="b">
        <f t="shared" si="21"/>
        <v>0</v>
      </c>
      <c r="AU100" s="16" t="b">
        <f t="shared" si="22"/>
        <v>0</v>
      </c>
      <c r="CL100" s="26"/>
      <c r="CM100" s="14"/>
      <c r="CN100" s="14"/>
      <c r="CO100" s="14"/>
      <c r="CP100" s="14"/>
      <c r="CQ100" s="16"/>
      <c r="CR100" s="16"/>
      <c r="CW100" s="14"/>
      <c r="DA100" s="26"/>
      <c r="DB100" s="14"/>
      <c r="DC100" s="14"/>
      <c r="DD100" s="14"/>
      <c r="DE100" s="14"/>
      <c r="FG100" s="26"/>
      <c r="FH100" s="14"/>
      <c r="FI100" s="14"/>
      <c r="FJ100" s="14"/>
      <c r="FK100" s="14"/>
      <c r="FL100" s="16"/>
      <c r="FM100" s="16"/>
      <c r="FP100" s="26"/>
      <c r="FQ100" s="14"/>
      <c r="FR100" s="14"/>
      <c r="FS100" s="14"/>
      <c r="FT100" s="14"/>
      <c r="FU100" s="16"/>
      <c r="FV100" s="16"/>
      <c r="FX100" s="14"/>
    </row>
    <row r="101" spans="9:180" ht="15.95" customHeight="1">
      <c r="J101" s="5" t="s">
        <v>1452</v>
      </c>
      <c r="AD101" s="131">
        <v>100</v>
      </c>
      <c r="AE101" s="193"/>
      <c r="AF101" s="193"/>
      <c r="AG101" s="193"/>
      <c r="AH101" s="195"/>
      <c r="AI101" s="155"/>
      <c r="AJ101" s="177"/>
      <c r="AK101" s="128"/>
      <c r="AL101" s="156"/>
      <c r="AM101" s="194"/>
      <c r="AN101" s="178"/>
      <c r="AO101" s="130"/>
      <c r="AP101" s="35" t="b">
        <f t="shared" si="17"/>
        <v>0</v>
      </c>
      <c r="AQ101" s="16">
        <f t="shared" si="18"/>
        <v>100</v>
      </c>
      <c r="AR101" s="16" t="b">
        <f t="shared" si="19"/>
        <v>0</v>
      </c>
      <c r="AS101" s="16" t="b">
        <f t="shared" si="20"/>
        <v>0</v>
      </c>
      <c r="AT101" s="16" t="b">
        <f t="shared" si="21"/>
        <v>0</v>
      </c>
      <c r="AU101" s="16" t="b">
        <f t="shared" si="22"/>
        <v>0</v>
      </c>
      <c r="CL101" s="26"/>
      <c r="CM101" s="14"/>
      <c r="CN101" s="14"/>
      <c r="CO101" s="14"/>
      <c r="CP101" s="14"/>
      <c r="CQ101" s="8"/>
      <c r="CR101" s="14"/>
      <c r="CW101" s="14"/>
      <c r="DA101" s="26"/>
      <c r="DB101" s="14"/>
      <c r="DC101" s="14"/>
      <c r="DD101" s="14"/>
      <c r="DE101" s="14"/>
      <c r="DF101" s="8"/>
      <c r="DG101" s="14"/>
      <c r="FG101" s="26"/>
      <c r="FH101" s="14"/>
      <c r="FI101" s="14"/>
      <c r="FJ101" s="14"/>
      <c r="FK101" s="14"/>
      <c r="FL101" s="8"/>
      <c r="FM101" s="14"/>
      <c r="FP101" s="26"/>
      <c r="FQ101" s="14"/>
      <c r="FR101" s="14"/>
      <c r="FS101" s="14"/>
      <c r="FT101" s="14"/>
      <c r="FU101" s="8"/>
      <c r="FV101" s="14"/>
      <c r="FX101" s="14"/>
    </row>
    <row r="102" spans="9:180" ht="15.95" customHeight="1">
      <c r="J102" s="5" t="s">
        <v>1453</v>
      </c>
      <c r="AD102" s="131">
        <v>101</v>
      </c>
      <c r="AE102" s="193"/>
      <c r="AF102" s="193"/>
      <c r="AG102" s="193"/>
      <c r="AH102" s="195"/>
      <c r="AI102" s="155"/>
      <c r="AJ102" s="177"/>
      <c r="AK102" s="128"/>
      <c r="AL102" s="156"/>
      <c r="AM102" s="194"/>
      <c r="AN102" s="178"/>
      <c r="AO102" s="130"/>
      <c r="AP102" s="35" t="b">
        <f t="shared" si="17"/>
        <v>0</v>
      </c>
      <c r="AQ102" s="16">
        <f t="shared" si="18"/>
        <v>101</v>
      </c>
      <c r="AR102" s="16" t="b">
        <f t="shared" si="19"/>
        <v>0</v>
      </c>
      <c r="AS102" s="16" t="b">
        <f t="shared" si="20"/>
        <v>0</v>
      </c>
      <c r="AT102" s="16" t="b">
        <f t="shared" si="21"/>
        <v>0</v>
      </c>
      <c r="AU102" s="16" t="b">
        <f t="shared" si="22"/>
        <v>0</v>
      </c>
      <c r="BV102" s="8">
        <v>34</v>
      </c>
      <c r="BW102" s="54">
        <f>LOOKUP(BT$54,BX$2:CK$2,BX102:CK102)</f>
        <v>0</v>
      </c>
      <c r="CL102" s="25"/>
      <c r="CM102" s="16"/>
      <c r="CN102" s="16"/>
      <c r="CO102" s="16"/>
      <c r="CP102" s="16"/>
      <c r="CQ102" s="16"/>
      <c r="CR102" s="16"/>
      <c r="CW102" s="14"/>
      <c r="FG102" s="25"/>
      <c r="FH102" s="16"/>
      <c r="FI102" s="16"/>
      <c r="FJ102" s="16"/>
      <c r="FK102" s="16"/>
      <c r="FL102" s="16"/>
      <c r="FM102" s="16"/>
      <c r="FP102" s="25"/>
      <c r="FQ102" s="16"/>
      <c r="FR102" s="16"/>
      <c r="FS102" s="16"/>
      <c r="FT102" s="16"/>
      <c r="FU102" s="16"/>
      <c r="FV102" s="16"/>
      <c r="FX102" s="14"/>
    </row>
    <row r="103" spans="9:180" ht="15.95" customHeight="1">
      <c r="J103" s="5" t="s">
        <v>1454</v>
      </c>
      <c r="AD103" s="131">
        <v>102</v>
      </c>
      <c r="AE103" s="193"/>
      <c r="AF103" s="193"/>
      <c r="AG103" s="193"/>
      <c r="AH103" s="195"/>
      <c r="AI103" s="155"/>
      <c r="AJ103" s="177"/>
      <c r="AK103" s="128"/>
      <c r="AL103" s="156"/>
      <c r="AM103" s="194"/>
      <c r="AN103" s="178"/>
      <c r="AO103" s="130"/>
      <c r="AP103" s="35" t="b">
        <f t="shared" si="17"/>
        <v>0</v>
      </c>
      <c r="AQ103" s="16">
        <f t="shared" si="18"/>
        <v>102</v>
      </c>
      <c r="AR103" s="16" t="b">
        <f t="shared" si="19"/>
        <v>0</v>
      </c>
      <c r="AS103" s="16" t="b">
        <f t="shared" si="20"/>
        <v>0</v>
      </c>
      <c r="AT103" s="16" t="b">
        <f t="shared" si="21"/>
        <v>0</v>
      </c>
      <c r="AU103" s="16" t="b">
        <f t="shared" si="22"/>
        <v>0</v>
      </c>
      <c r="CL103" s="26"/>
      <c r="CM103" s="14"/>
      <c r="CN103" s="14"/>
      <c r="CO103" s="14"/>
      <c r="CP103" s="14"/>
      <c r="CQ103" s="14"/>
      <c r="CR103" s="16"/>
      <c r="CW103" s="14"/>
      <c r="DA103" s="26"/>
      <c r="DB103" s="14"/>
      <c r="DC103" s="14"/>
      <c r="DD103" s="14"/>
      <c r="DE103" s="14"/>
      <c r="DF103" s="14"/>
      <c r="EE103" s="26"/>
      <c r="FG103" s="26"/>
      <c r="FH103" s="14"/>
      <c r="FI103" s="14"/>
      <c r="FJ103" s="14"/>
      <c r="FK103" s="14"/>
      <c r="FL103" s="14"/>
      <c r="FM103" s="16"/>
      <c r="FP103" s="26"/>
      <c r="FQ103" s="14"/>
      <c r="FR103" s="14"/>
      <c r="FS103" s="14"/>
      <c r="FT103" s="14"/>
      <c r="FU103" s="14"/>
      <c r="FV103" s="16"/>
      <c r="FX103" s="14"/>
    </row>
    <row r="104" spans="9:180" ht="15.95" customHeight="1">
      <c r="J104" s="5" t="s">
        <v>1455</v>
      </c>
      <c r="AD104" s="131">
        <v>103</v>
      </c>
      <c r="AE104" s="193"/>
      <c r="AF104" s="193"/>
      <c r="AG104" s="193"/>
      <c r="AH104" s="195"/>
      <c r="AI104" s="155"/>
      <c r="AJ104" s="177"/>
      <c r="AK104" s="128"/>
      <c r="AL104" s="156"/>
      <c r="AM104" s="194"/>
      <c r="AN104" s="178"/>
      <c r="AO104" s="130"/>
      <c r="AP104" s="35" t="b">
        <f t="shared" si="17"/>
        <v>0</v>
      </c>
      <c r="AQ104" s="16">
        <f t="shared" si="18"/>
        <v>103</v>
      </c>
      <c r="AR104" s="16" t="b">
        <f t="shared" si="19"/>
        <v>0</v>
      </c>
      <c r="AS104" s="16" t="b">
        <f t="shared" si="20"/>
        <v>0</v>
      </c>
      <c r="AT104" s="16" t="b">
        <f t="shared" si="21"/>
        <v>0</v>
      </c>
      <c r="AU104" s="16" t="b">
        <f t="shared" si="22"/>
        <v>0</v>
      </c>
      <c r="CM104" s="14"/>
      <c r="CN104" s="14"/>
      <c r="CO104" s="14"/>
      <c r="CP104" s="14"/>
      <c r="CQ104" s="8"/>
      <c r="CR104" s="14"/>
      <c r="CW104" s="14"/>
      <c r="DA104" s="24"/>
      <c r="DB104" s="14"/>
      <c r="DC104" s="14"/>
      <c r="DD104" s="14"/>
      <c r="DE104" s="14"/>
      <c r="DF104" s="8"/>
      <c r="DG104" s="14"/>
      <c r="FH104" s="14"/>
      <c r="FI104" s="14"/>
      <c r="FJ104" s="14"/>
      <c r="FK104" s="14"/>
      <c r="FL104" s="8"/>
      <c r="FM104" s="14"/>
      <c r="FQ104" s="14"/>
      <c r="FR104" s="14"/>
      <c r="FS104" s="14"/>
      <c r="FT104" s="14"/>
      <c r="FU104" s="8"/>
      <c r="FV104" s="14"/>
      <c r="FX104" s="14"/>
    </row>
    <row r="105" spans="9:180" ht="15.95" customHeight="1">
      <c r="J105" s="5" t="s">
        <v>1456</v>
      </c>
      <c r="AD105" s="131">
        <v>104</v>
      </c>
      <c r="AE105" s="193"/>
      <c r="AF105" s="193"/>
      <c r="AG105" s="193"/>
      <c r="AH105" s="195"/>
      <c r="AI105" s="177"/>
      <c r="AJ105" s="177"/>
      <c r="AK105" s="253"/>
      <c r="AL105" s="156"/>
      <c r="AM105" s="254"/>
      <c r="AN105" s="255"/>
      <c r="AO105" s="130"/>
      <c r="AP105" s="35" t="b">
        <f t="shared" si="17"/>
        <v>0</v>
      </c>
      <c r="AQ105" s="16">
        <f t="shared" si="18"/>
        <v>104</v>
      </c>
      <c r="AR105" s="16" t="b">
        <f t="shared" si="19"/>
        <v>0</v>
      </c>
      <c r="AS105" s="16" t="b">
        <f t="shared" si="20"/>
        <v>0</v>
      </c>
      <c r="AT105" s="16" t="b">
        <f t="shared" si="21"/>
        <v>0</v>
      </c>
      <c r="AU105" s="16" t="b">
        <f t="shared" si="22"/>
        <v>0</v>
      </c>
      <c r="BV105" s="8">
        <v>35</v>
      </c>
      <c r="BW105" s="54">
        <f>LOOKUP(BT$54,BX$2:CK$2,BX105:CK105)</f>
        <v>0</v>
      </c>
      <c r="CM105" s="16"/>
      <c r="CN105" s="14"/>
      <c r="CO105" s="16"/>
      <c r="CP105" s="16"/>
      <c r="CQ105" s="16"/>
      <c r="CR105" s="14"/>
      <c r="CW105" s="14"/>
      <c r="DA105" s="24"/>
      <c r="DC105" s="10"/>
      <c r="DG105" s="14"/>
      <c r="FH105" s="16"/>
      <c r="FI105" s="14"/>
      <c r="FJ105" s="16"/>
      <c r="FK105" s="16"/>
      <c r="FL105" s="16"/>
      <c r="FM105" s="14"/>
      <c r="FQ105" s="16"/>
      <c r="FR105" s="14"/>
      <c r="FS105" s="16"/>
      <c r="FT105" s="16"/>
      <c r="FU105" s="16"/>
      <c r="FV105" s="14"/>
      <c r="FX105" s="14"/>
    </row>
    <row r="106" spans="9:180" ht="15.95" customHeight="1">
      <c r="J106" s="5" t="s">
        <v>1457</v>
      </c>
      <c r="AD106" s="131">
        <v>105</v>
      </c>
      <c r="AE106" s="193"/>
      <c r="AF106" s="193"/>
      <c r="AG106" s="193"/>
      <c r="AH106" s="195"/>
      <c r="AI106" s="177"/>
      <c r="AJ106" s="177"/>
      <c r="AK106" s="253"/>
      <c r="AL106" s="156"/>
      <c r="AM106" s="254"/>
      <c r="AN106" s="255"/>
      <c r="AO106" s="130"/>
      <c r="AP106" s="35" t="b">
        <f t="shared" si="17"/>
        <v>0</v>
      </c>
      <c r="AQ106" s="16">
        <f t="shared" si="18"/>
        <v>105</v>
      </c>
      <c r="AR106" s="16" t="b">
        <f t="shared" si="19"/>
        <v>0</v>
      </c>
      <c r="AS106" s="16" t="b">
        <f t="shared" si="20"/>
        <v>0</v>
      </c>
      <c r="AT106" s="16" t="b">
        <f t="shared" si="21"/>
        <v>0</v>
      </c>
      <c r="AU106" s="16" t="b">
        <f t="shared" si="22"/>
        <v>0</v>
      </c>
      <c r="CL106" s="26"/>
      <c r="CM106" s="14"/>
      <c r="CN106" s="14"/>
      <c r="CO106" s="14"/>
      <c r="CP106" s="16"/>
      <c r="CQ106" s="8"/>
      <c r="DA106" s="26"/>
      <c r="DB106" s="14"/>
      <c r="DC106" s="14"/>
      <c r="DD106" s="14"/>
      <c r="DF106" s="8"/>
      <c r="DG106"/>
      <c r="FG106" s="26"/>
      <c r="FH106" s="14"/>
      <c r="FI106" s="14"/>
      <c r="FJ106" s="14"/>
      <c r="FK106" s="16"/>
      <c r="FL106" s="8"/>
      <c r="FP106" s="26"/>
      <c r="FQ106" s="14"/>
      <c r="FR106" s="14"/>
      <c r="FS106" s="14"/>
      <c r="FT106" s="16"/>
      <c r="FU106" s="8"/>
    </row>
    <row r="107" spans="9:180" ht="15.95" customHeight="1">
      <c r="AD107" s="131">
        <v>106</v>
      </c>
      <c r="AE107" s="193"/>
      <c r="AF107" s="193"/>
      <c r="AG107" s="193"/>
      <c r="AH107" s="195"/>
      <c r="AI107" s="177"/>
      <c r="AJ107" s="177"/>
      <c r="AK107" s="253"/>
      <c r="AL107" s="156"/>
      <c r="AM107" s="254"/>
      <c r="AN107" s="255"/>
      <c r="AO107" s="130"/>
      <c r="AP107" s="35" t="b">
        <f t="shared" si="17"/>
        <v>0</v>
      </c>
      <c r="AQ107" s="16">
        <f t="shared" si="18"/>
        <v>106</v>
      </c>
      <c r="AR107" s="16" t="b">
        <f t="shared" si="19"/>
        <v>0</v>
      </c>
      <c r="AS107" s="16" t="b">
        <f t="shared" si="20"/>
        <v>0</v>
      </c>
      <c r="AT107" s="16" t="b">
        <f t="shared" si="21"/>
        <v>0</v>
      </c>
      <c r="AU107" s="16" t="b">
        <f t="shared" si="22"/>
        <v>0</v>
      </c>
      <c r="CL107" s="25"/>
      <c r="DB107"/>
      <c r="DC107"/>
      <c r="DD107"/>
      <c r="DE107"/>
      <c r="DF107"/>
      <c r="DG107"/>
      <c r="FG107" s="25"/>
      <c r="FP107" s="25"/>
    </row>
    <row r="108" spans="9:180" ht="15.95" customHeight="1">
      <c r="J108" s="5" t="s">
        <v>1458</v>
      </c>
      <c r="AD108" s="131">
        <v>107</v>
      </c>
      <c r="AE108" s="193"/>
      <c r="AF108" s="193"/>
      <c r="AG108" s="193"/>
      <c r="AH108" s="195"/>
      <c r="AI108" s="177"/>
      <c r="AJ108" s="177"/>
      <c r="AK108" s="253"/>
      <c r="AL108" s="156"/>
      <c r="AM108" s="254"/>
      <c r="AN108" s="255"/>
      <c r="AO108" s="130"/>
      <c r="AP108" s="35" t="b">
        <f t="shared" si="17"/>
        <v>0</v>
      </c>
      <c r="AQ108" s="16">
        <f t="shared" si="18"/>
        <v>107</v>
      </c>
      <c r="AR108" s="16" t="b">
        <f t="shared" si="19"/>
        <v>0</v>
      </c>
      <c r="AS108" s="16" t="b">
        <f t="shared" si="20"/>
        <v>0</v>
      </c>
      <c r="AT108" s="16" t="b">
        <f t="shared" si="21"/>
        <v>0</v>
      </c>
      <c r="AU108" s="16" t="b">
        <f t="shared" si="22"/>
        <v>0</v>
      </c>
      <c r="BV108" s="8">
        <v>36</v>
      </c>
      <c r="BW108" s="54">
        <f>LOOKUP(BT$54,BX$2:CK$2,BX108:CK108)</f>
        <v>0</v>
      </c>
      <c r="CL108" s="25"/>
      <c r="CR108" s="16"/>
      <c r="DB108"/>
      <c r="DC108"/>
      <c r="DD108"/>
      <c r="DE108"/>
      <c r="DF108"/>
      <c r="FG108" s="25"/>
      <c r="FM108" s="16"/>
      <c r="FP108" s="25"/>
      <c r="FV108" s="16"/>
    </row>
    <row r="109" spans="9:180" ht="15.95" customHeight="1">
      <c r="J109" s="5" t="s">
        <v>1459</v>
      </c>
      <c r="AD109" s="131">
        <v>108</v>
      </c>
      <c r="AE109" s="132"/>
      <c r="AF109" s="132"/>
      <c r="AG109" s="132"/>
      <c r="AH109" s="195"/>
      <c r="AI109" s="196"/>
      <c r="AJ109" s="197"/>
      <c r="AK109" s="198"/>
      <c r="AL109" s="199"/>
      <c r="AM109" s="197"/>
      <c r="AN109" s="198"/>
      <c r="AO109" s="130"/>
      <c r="AP109" s="35" t="b">
        <f t="shared" si="17"/>
        <v>0</v>
      </c>
      <c r="AQ109" s="16">
        <f t="shared" si="18"/>
        <v>108</v>
      </c>
      <c r="AR109" s="16" t="b">
        <f t="shared" si="19"/>
        <v>0</v>
      </c>
      <c r="AS109" s="16" t="b">
        <f t="shared" si="20"/>
        <v>0</v>
      </c>
      <c r="AT109" s="16" t="b">
        <f t="shared" si="21"/>
        <v>0</v>
      </c>
      <c r="AU109" s="16" t="b">
        <f t="shared" si="22"/>
        <v>0</v>
      </c>
      <c r="CL109" s="25"/>
      <c r="CM109" s="16"/>
      <c r="CN109" s="16"/>
      <c r="CO109" s="16"/>
      <c r="CP109" s="16"/>
      <c r="CQ109" s="16"/>
      <c r="CR109" s="16"/>
      <c r="FG109" s="25"/>
      <c r="FH109" s="16"/>
      <c r="FI109" s="16"/>
      <c r="FJ109" s="16"/>
      <c r="FK109" s="16"/>
      <c r="FL109" s="16"/>
      <c r="FM109" s="16"/>
      <c r="FP109" s="25"/>
      <c r="FQ109" s="16"/>
      <c r="FR109" s="16"/>
      <c r="FS109" s="16"/>
      <c r="FT109" s="16"/>
      <c r="FU109" s="16"/>
      <c r="FV109" s="16"/>
    </row>
    <row r="110" spans="9:180" ht="15.95" customHeight="1">
      <c r="J110" s="5" t="s">
        <v>1460</v>
      </c>
      <c r="AD110" s="131">
        <v>109</v>
      </c>
      <c r="AE110" s="132"/>
      <c r="AF110" s="132"/>
      <c r="AG110" s="132"/>
      <c r="AH110" s="195"/>
      <c r="AI110" s="196"/>
      <c r="AJ110" s="197"/>
      <c r="AK110" s="198"/>
      <c r="AL110" s="199"/>
      <c r="AM110" s="197"/>
      <c r="AN110" s="198"/>
      <c r="AO110" s="130"/>
      <c r="AP110" s="35" t="b">
        <f t="shared" si="17"/>
        <v>0</v>
      </c>
      <c r="AQ110" s="16">
        <f t="shared" si="18"/>
        <v>109</v>
      </c>
      <c r="AR110" s="16" t="b">
        <f t="shared" si="19"/>
        <v>0</v>
      </c>
      <c r="AS110" s="16" t="b">
        <f t="shared" si="20"/>
        <v>0</v>
      </c>
      <c r="AT110" s="16" t="b">
        <f t="shared" si="21"/>
        <v>0</v>
      </c>
      <c r="AU110" s="16" t="b">
        <f t="shared" si="22"/>
        <v>0</v>
      </c>
      <c r="CL110" s="25"/>
      <c r="CM110" s="16"/>
      <c r="CN110" s="16"/>
      <c r="CO110" s="16"/>
      <c r="CP110" s="16"/>
      <c r="CQ110" s="16"/>
      <c r="CR110" s="16"/>
      <c r="FG110" s="25"/>
      <c r="FH110" s="16"/>
      <c r="FI110" s="16"/>
      <c r="FJ110" s="16"/>
      <c r="FK110" s="16"/>
      <c r="FL110" s="16"/>
      <c r="FM110" s="16"/>
      <c r="FP110" s="25"/>
      <c r="FQ110" s="16"/>
      <c r="FR110" s="16"/>
      <c r="FS110" s="16"/>
      <c r="FT110" s="16"/>
      <c r="FU110" s="16"/>
      <c r="FV110" s="16"/>
    </row>
    <row r="111" spans="9:180" ht="15.95" customHeight="1">
      <c r="J111" s="5" t="s">
        <v>1461</v>
      </c>
      <c r="AD111" s="131">
        <v>110</v>
      </c>
      <c r="AE111" s="132"/>
      <c r="AF111" s="132"/>
      <c r="AG111" s="132"/>
      <c r="AH111" s="195"/>
      <c r="AI111" s="196"/>
      <c r="AJ111" s="197"/>
      <c r="AK111" s="198"/>
      <c r="AL111" s="199"/>
      <c r="AM111" s="197"/>
      <c r="AN111" s="198"/>
      <c r="AO111" s="130"/>
      <c r="AP111" s="35" t="b">
        <f t="shared" si="17"/>
        <v>0</v>
      </c>
      <c r="AQ111" s="16">
        <f t="shared" si="18"/>
        <v>110</v>
      </c>
      <c r="AR111" s="16" t="b">
        <f t="shared" si="19"/>
        <v>0</v>
      </c>
      <c r="AS111" s="16" t="b">
        <f t="shared" si="20"/>
        <v>0</v>
      </c>
      <c r="AT111" s="16" t="b">
        <f t="shared" si="21"/>
        <v>0</v>
      </c>
      <c r="AU111" s="16" t="b">
        <f t="shared" si="22"/>
        <v>0</v>
      </c>
      <c r="BV111" s="8">
        <v>37</v>
      </c>
      <c r="BW111" s="54">
        <f>LOOKUP(BT$54,BX$2:CK$2,BX111:CK111)</f>
        <v>0</v>
      </c>
      <c r="CL111" s="25"/>
      <c r="CM111" s="16"/>
      <c r="CN111" s="16"/>
      <c r="CO111" s="16"/>
      <c r="CP111" s="16"/>
      <c r="CQ111" s="16"/>
      <c r="CR111" s="16"/>
      <c r="FG111" s="25"/>
      <c r="FH111" s="16"/>
      <c r="FI111" s="16"/>
      <c r="FJ111" s="16"/>
      <c r="FK111" s="16"/>
      <c r="FL111" s="16"/>
      <c r="FM111" s="16"/>
      <c r="FP111" s="25"/>
      <c r="FQ111" s="16"/>
      <c r="FR111" s="16"/>
      <c r="FS111" s="16"/>
      <c r="FT111" s="16"/>
      <c r="FU111" s="16"/>
      <c r="FV111" s="16"/>
    </row>
    <row r="112" spans="9:180" ht="15.95" customHeight="1">
      <c r="AD112" s="131">
        <v>111</v>
      </c>
      <c r="AE112" s="132"/>
      <c r="AF112" s="132"/>
      <c r="AG112" s="132"/>
      <c r="AH112" s="195"/>
      <c r="AI112" s="196"/>
      <c r="AJ112" s="197"/>
      <c r="AK112" s="198"/>
      <c r="AL112" s="199"/>
      <c r="AM112" s="197"/>
      <c r="AN112" s="198"/>
      <c r="AO112" s="130"/>
      <c r="AP112" s="35" t="b">
        <f t="shared" si="17"/>
        <v>0</v>
      </c>
      <c r="AQ112" s="16">
        <f t="shared" si="18"/>
        <v>111</v>
      </c>
      <c r="AR112" s="16" t="b">
        <f t="shared" si="19"/>
        <v>0</v>
      </c>
      <c r="AS112" s="16" t="b">
        <f t="shared" si="20"/>
        <v>0</v>
      </c>
      <c r="AT112" s="16" t="b">
        <f t="shared" si="21"/>
        <v>0</v>
      </c>
      <c r="AU112" s="16" t="b">
        <f t="shared" si="22"/>
        <v>0</v>
      </c>
    </row>
    <row r="113" spans="30:128" ht="15.95" customHeight="1">
      <c r="AD113" s="131">
        <v>112</v>
      </c>
      <c r="AE113" s="132"/>
      <c r="AF113" s="132"/>
      <c r="AG113" s="132"/>
      <c r="AH113" s="195"/>
      <c r="AI113" s="196"/>
      <c r="AJ113" s="197"/>
      <c r="AK113" s="198"/>
      <c r="AL113" s="199"/>
      <c r="AM113" s="197"/>
      <c r="AN113" s="198"/>
      <c r="AO113" s="130"/>
      <c r="AP113" s="35" t="b">
        <f t="shared" si="17"/>
        <v>0</v>
      </c>
      <c r="AQ113" s="16">
        <f t="shared" si="18"/>
        <v>112</v>
      </c>
      <c r="AR113" s="16" t="b">
        <f t="shared" si="19"/>
        <v>0</v>
      </c>
      <c r="AS113" s="16" t="b">
        <f t="shared" si="20"/>
        <v>0</v>
      </c>
      <c r="AT113" s="16" t="b">
        <f t="shared" si="21"/>
        <v>0</v>
      </c>
      <c r="AU113" s="16" t="b">
        <f t="shared" si="22"/>
        <v>0</v>
      </c>
    </row>
    <row r="114" spans="30:128" ht="15.95" customHeight="1">
      <c r="AD114" s="131">
        <v>113</v>
      </c>
      <c r="AE114" s="132"/>
      <c r="AF114" s="132"/>
      <c r="AG114" s="132"/>
      <c r="AH114" s="195"/>
      <c r="AI114" s="196"/>
      <c r="AJ114" s="197"/>
      <c r="AK114" s="198"/>
      <c r="AL114" s="199"/>
      <c r="AM114" s="197"/>
      <c r="AN114" s="198"/>
      <c r="AO114" s="130"/>
      <c r="AP114" s="35" t="b">
        <f t="shared" si="17"/>
        <v>0</v>
      </c>
      <c r="AQ114" s="16">
        <f t="shared" si="18"/>
        <v>113</v>
      </c>
      <c r="AR114" s="16" t="b">
        <f t="shared" si="19"/>
        <v>0</v>
      </c>
      <c r="AS114" s="16" t="b">
        <f t="shared" si="20"/>
        <v>0</v>
      </c>
      <c r="AT114" s="16" t="b">
        <f t="shared" si="21"/>
        <v>0</v>
      </c>
      <c r="AU114" s="16" t="b">
        <f t="shared" si="22"/>
        <v>0</v>
      </c>
      <c r="BV114" s="8">
        <v>38</v>
      </c>
      <c r="BW114" s="54">
        <f>LOOKUP(BT$54,BX$2:CK$2,BX114:CK114)</f>
        <v>0</v>
      </c>
    </row>
    <row r="115" spans="30:128" ht="15.95" customHeight="1">
      <c r="AD115" s="131">
        <v>114</v>
      </c>
      <c r="AE115" s="132"/>
      <c r="AF115" s="132"/>
      <c r="AG115" s="132"/>
      <c r="AH115" s="195"/>
      <c r="AI115" s="196"/>
      <c r="AJ115" s="197"/>
      <c r="AK115" s="198"/>
      <c r="AL115" s="199"/>
      <c r="AM115" s="197"/>
      <c r="AN115" s="198"/>
      <c r="AO115" s="130"/>
      <c r="AP115" s="35" t="b">
        <f t="shared" si="17"/>
        <v>0</v>
      </c>
      <c r="AQ115" s="16">
        <f t="shared" si="18"/>
        <v>114</v>
      </c>
      <c r="AR115" s="16" t="b">
        <f t="shared" si="19"/>
        <v>0</v>
      </c>
      <c r="AS115" s="16" t="b">
        <f t="shared" si="20"/>
        <v>0</v>
      </c>
      <c r="AT115" s="16" t="b">
        <f t="shared" si="21"/>
        <v>0</v>
      </c>
      <c r="AU115" s="16" t="b">
        <f t="shared" si="22"/>
        <v>0</v>
      </c>
      <c r="DP115" s="26"/>
    </row>
    <row r="116" spans="30:128" ht="15.95" customHeight="1">
      <c r="AD116" s="131">
        <v>115</v>
      </c>
      <c r="AE116" s="132"/>
      <c r="AF116" s="132"/>
      <c r="AG116" s="132"/>
      <c r="AH116" s="195"/>
      <c r="AI116" s="196"/>
      <c r="AJ116" s="197"/>
      <c r="AK116" s="198"/>
      <c r="AL116" s="199"/>
      <c r="AM116" s="197"/>
      <c r="AN116" s="198"/>
      <c r="AO116" s="130"/>
      <c r="AP116" s="35" t="b">
        <f t="shared" si="17"/>
        <v>0</v>
      </c>
      <c r="AQ116" s="16">
        <f t="shared" si="18"/>
        <v>115</v>
      </c>
      <c r="AR116" s="16" t="b">
        <f t="shared" si="19"/>
        <v>0</v>
      </c>
      <c r="AS116" s="16" t="b">
        <f t="shared" si="20"/>
        <v>0</v>
      </c>
      <c r="AT116" s="16" t="b">
        <f t="shared" si="21"/>
        <v>0</v>
      </c>
      <c r="AU116" s="16" t="b">
        <f t="shared" si="22"/>
        <v>0</v>
      </c>
    </row>
    <row r="117" spans="30:128" ht="15.95" customHeight="1">
      <c r="AD117" s="131">
        <v>116</v>
      </c>
      <c r="AE117" s="132"/>
      <c r="AF117" s="132"/>
      <c r="AG117" s="132"/>
      <c r="AH117" s="195"/>
      <c r="AI117" s="196"/>
      <c r="AJ117" s="197"/>
      <c r="AK117" s="198"/>
      <c r="AL117" s="199"/>
      <c r="AM117" s="197"/>
      <c r="AN117" s="198"/>
      <c r="AO117" s="130"/>
      <c r="AP117" s="35" t="b">
        <f t="shared" si="17"/>
        <v>0</v>
      </c>
      <c r="AQ117" s="16">
        <f t="shared" si="18"/>
        <v>116</v>
      </c>
      <c r="AR117" s="16" t="b">
        <f t="shared" si="19"/>
        <v>0</v>
      </c>
      <c r="AS117" s="16" t="b">
        <f t="shared" si="20"/>
        <v>0</v>
      </c>
      <c r="AT117" s="16" t="b">
        <f t="shared" si="21"/>
        <v>0</v>
      </c>
      <c r="AU117" s="16" t="b">
        <f t="shared" si="22"/>
        <v>0</v>
      </c>
      <c r="BV117" s="8">
        <v>39</v>
      </c>
      <c r="BW117" s="54">
        <f>LOOKUP(BT$54,BX$2:CK$2,BX117:CK117)</f>
        <v>0</v>
      </c>
    </row>
    <row r="118" spans="30:128" ht="15.95" customHeight="1">
      <c r="AD118" s="131">
        <v>117</v>
      </c>
      <c r="AE118" s="132"/>
      <c r="AF118" s="132"/>
      <c r="AG118" s="132"/>
      <c r="AH118" s="195"/>
      <c r="AI118" s="196"/>
      <c r="AJ118" s="197"/>
      <c r="AK118" s="198"/>
      <c r="AL118" s="199"/>
      <c r="AM118" s="197"/>
      <c r="AN118" s="198"/>
      <c r="AO118" s="130"/>
      <c r="AP118" s="35" t="b">
        <f t="shared" si="17"/>
        <v>0</v>
      </c>
      <c r="AQ118" s="16">
        <f t="shared" si="18"/>
        <v>117</v>
      </c>
      <c r="AR118" s="16" t="b">
        <f t="shared" si="19"/>
        <v>0</v>
      </c>
      <c r="AS118" s="16" t="b">
        <f t="shared" si="20"/>
        <v>0</v>
      </c>
      <c r="AT118" s="16" t="b">
        <f t="shared" si="21"/>
        <v>0</v>
      </c>
      <c r="AU118" s="16" t="b">
        <f t="shared" si="22"/>
        <v>0</v>
      </c>
      <c r="DP118" s="26"/>
      <c r="DQ118" s="201"/>
    </row>
    <row r="119" spans="30:128" ht="15.95" customHeight="1">
      <c r="AD119" s="131">
        <v>118</v>
      </c>
      <c r="AE119" s="132"/>
      <c r="AF119" s="132"/>
      <c r="AG119" s="132"/>
      <c r="AH119" s="195"/>
      <c r="AI119" s="196"/>
      <c r="AJ119" s="197"/>
      <c r="AK119" s="198"/>
      <c r="AL119" s="199"/>
      <c r="AM119" s="197"/>
      <c r="AN119" s="198"/>
      <c r="AO119" s="130"/>
      <c r="AP119" s="35" t="b">
        <f t="shared" si="17"/>
        <v>0</v>
      </c>
      <c r="AQ119" s="16">
        <f t="shared" si="18"/>
        <v>118</v>
      </c>
      <c r="AR119" s="16" t="b">
        <f t="shared" si="19"/>
        <v>0</v>
      </c>
      <c r="AS119" s="16" t="b">
        <f t="shared" si="20"/>
        <v>0</v>
      </c>
      <c r="AT119" s="16" t="b">
        <f t="shared" si="21"/>
        <v>0</v>
      </c>
      <c r="AU119" s="16" t="b">
        <f t="shared" si="22"/>
        <v>0</v>
      </c>
    </row>
    <row r="120" spans="30:128" ht="15.95" customHeight="1">
      <c r="AD120" s="131">
        <v>119</v>
      </c>
      <c r="AE120" s="132"/>
      <c r="AF120" s="132"/>
      <c r="AG120" s="132"/>
      <c r="AH120" s="195"/>
      <c r="AI120" s="196"/>
      <c r="AJ120" s="197"/>
      <c r="AK120" s="198"/>
      <c r="AL120" s="199"/>
      <c r="AM120" s="197"/>
      <c r="AN120" s="198"/>
      <c r="AO120" s="130"/>
      <c r="AP120" s="35" t="b">
        <f t="shared" si="17"/>
        <v>0</v>
      </c>
      <c r="AQ120" s="16">
        <f t="shared" si="18"/>
        <v>119</v>
      </c>
      <c r="AR120" s="16" t="b">
        <f t="shared" si="19"/>
        <v>0</v>
      </c>
      <c r="AS120" s="16" t="b">
        <f t="shared" si="20"/>
        <v>0</v>
      </c>
      <c r="AT120" s="16" t="b">
        <f t="shared" si="21"/>
        <v>0</v>
      </c>
      <c r="AU120" s="16" t="b">
        <f t="shared" si="22"/>
        <v>0</v>
      </c>
      <c r="BV120" s="8">
        <v>40</v>
      </c>
      <c r="BW120" s="54">
        <f>LOOKUP(BT$54,BX$2:CK$2,BX120:CK120)</f>
        <v>0</v>
      </c>
      <c r="DW120" s="16"/>
      <c r="DX120" s="16"/>
    </row>
    <row r="121" spans="30:128" ht="15.95" customHeight="1">
      <c r="AD121" s="131">
        <v>120</v>
      </c>
      <c r="AE121" s="132"/>
      <c r="AF121" s="132"/>
      <c r="AG121" s="132"/>
      <c r="AH121" s="195"/>
      <c r="AI121" s="196"/>
      <c r="AJ121" s="197"/>
      <c r="AK121" s="198"/>
      <c r="AL121" s="199"/>
      <c r="AM121" s="197"/>
      <c r="AN121" s="198"/>
      <c r="AO121" s="130"/>
      <c r="AP121" s="35" t="b">
        <f t="shared" si="17"/>
        <v>0</v>
      </c>
      <c r="AQ121" s="16">
        <f t="shared" si="18"/>
        <v>120</v>
      </c>
      <c r="AR121" s="16" t="b">
        <f t="shared" si="19"/>
        <v>0</v>
      </c>
      <c r="AS121" s="16" t="b">
        <f t="shared" si="20"/>
        <v>0</v>
      </c>
      <c r="AT121" s="16" t="b">
        <f t="shared" si="21"/>
        <v>0</v>
      </c>
      <c r="AU121" s="16" t="b">
        <f t="shared" si="22"/>
        <v>0</v>
      </c>
      <c r="DP121" s="26"/>
      <c r="DQ121" s="201"/>
      <c r="DU121" s="26"/>
      <c r="DW121" s="53"/>
      <c r="DX121" s="53"/>
    </row>
    <row r="122" spans="30:128" ht="15.95" customHeight="1">
      <c r="AD122" s="131">
        <v>121</v>
      </c>
      <c r="AE122" s="132"/>
      <c r="AF122" s="132"/>
      <c r="AG122" s="132"/>
      <c r="AH122" s="195"/>
      <c r="AI122" s="196"/>
      <c r="AJ122" s="197"/>
      <c r="AK122" s="198"/>
      <c r="AL122" s="199"/>
      <c r="AM122" s="197"/>
      <c r="AN122" s="198"/>
      <c r="AO122" s="130"/>
      <c r="AP122" s="35" t="b">
        <f t="shared" si="17"/>
        <v>0</v>
      </c>
      <c r="AQ122" s="16">
        <f t="shared" si="18"/>
        <v>121</v>
      </c>
      <c r="AR122" s="16" t="b">
        <f t="shared" si="19"/>
        <v>0</v>
      </c>
      <c r="AS122" s="16" t="b">
        <f t="shared" si="20"/>
        <v>0</v>
      </c>
      <c r="AT122" s="16" t="b">
        <f t="shared" si="21"/>
        <v>0</v>
      </c>
      <c r="AU122" s="16" t="b">
        <f t="shared" si="22"/>
        <v>0</v>
      </c>
    </row>
    <row r="123" spans="30:128" ht="15.95" customHeight="1">
      <c r="AD123" s="131">
        <v>122</v>
      </c>
      <c r="AE123" s="132"/>
      <c r="AF123" s="132"/>
      <c r="AG123" s="132"/>
      <c r="AH123" s="195"/>
      <c r="AI123" s="196"/>
      <c r="AJ123" s="197"/>
      <c r="AK123" s="198"/>
      <c r="AL123" s="199"/>
      <c r="AM123" s="197"/>
      <c r="AN123" s="198"/>
      <c r="AO123" s="130"/>
      <c r="AP123" s="35" t="b">
        <f t="shared" si="17"/>
        <v>0</v>
      </c>
      <c r="AQ123" s="16">
        <f t="shared" si="18"/>
        <v>122</v>
      </c>
      <c r="AR123" s="16" t="b">
        <f t="shared" si="19"/>
        <v>0</v>
      </c>
      <c r="AS123" s="16" t="b">
        <f t="shared" si="20"/>
        <v>0</v>
      </c>
      <c r="AT123" s="16" t="b">
        <f t="shared" si="21"/>
        <v>0</v>
      </c>
      <c r="AU123" s="16" t="b">
        <f t="shared" si="22"/>
        <v>0</v>
      </c>
      <c r="BV123" s="8">
        <v>41</v>
      </c>
      <c r="BW123" s="54">
        <f>LOOKUP(BT$54,BX$2:CK$2,BX123:CK123)</f>
        <v>0</v>
      </c>
    </row>
    <row r="124" spans="30:128" ht="15.95" customHeight="1">
      <c r="AD124" s="131">
        <v>123</v>
      </c>
      <c r="AE124" s="256"/>
      <c r="AF124" s="256"/>
      <c r="AG124" s="256"/>
      <c r="AH124" s="195"/>
      <c r="AI124" s="196"/>
      <c r="AJ124" s="197"/>
      <c r="AK124" s="257"/>
      <c r="AL124" s="258"/>
      <c r="AM124" s="259"/>
      <c r="AN124" s="260"/>
      <c r="AO124" s="261"/>
      <c r="AP124" s="35" t="b">
        <f>IF(BP$37=AE124,AD124)</f>
        <v>0</v>
      </c>
      <c r="AQ124" s="16">
        <f t="shared" si="18"/>
        <v>123</v>
      </c>
      <c r="AR124" s="16" t="b">
        <f t="shared" si="19"/>
        <v>0</v>
      </c>
      <c r="AS124" s="16" t="b">
        <f t="shared" si="20"/>
        <v>0</v>
      </c>
      <c r="AT124" s="16" t="b">
        <f t="shared" si="21"/>
        <v>0</v>
      </c>
      <c r="AU124" s="16" t="b">
        <f t="shared" si="22"/>
        <v>0</v>
      </c>
      <c r="DP124" s="26"/>
    </row>
    <row r="125" spans="30:128" ht="15.95" customHeight="1">
      <c r="AD125" s="131">
        <v>124</v>
      </c>
      <c r="AE125" s="256"/>
      <c r="AF125" s="256"/>
      <c r="AG125" s="256"/>
      <c r="AH125" s="195"/>
      <c r="AI125" s="196"/>
      <c r="AJ125" s="197"/>
      <c r="AK125" s="257"/>
      <c r="AL125" s="258"/>
      <c r="AM125" s="259"/>
      <c r="AN125" s="260"/>
      <c r="AO125" s="261"/>
      <c r="AP125" s="35" t="b">
        <f>IF(BP$37=AE125,AD125)</f>
        <v>0</v>
      </c>
      <c r="AQ125" s="16">
        <f t="shared" si="18"/>
        <v>124</v>
      </c>
      <c r="AR125" s="16" t="b">
        <f t="shared" si="19"/>
        <v>0</v>
      </c>
      <c r="AS125" s="16" t="b">
        <f t="shared" si="20"/>
        <v>0</v>
      </c>
      <c r="AT125" s="16" t="b">
        <f t="shared" si="21"/>
        <v>0</v>
      </c>
      <c r="AU125" s="16" t="b">
        <f t="shared" si="22"/>
        <v>0</v>
      </c>
    </row>
    <row r="126" spans="30:128" ht="15.95" customHeight="1">
      <c r="AD126" s="131">
        <v>125</v>
      </c>
      <c r="AE126" s="256"/>
      <c r="AF126" s="256"/>
      <c r="AG126" s="256"/>
      <c r="AH126" s="195"/>
      <c r="AI126" s="196"/>
      <c r="AJ126" s="197"/>
      <c r="AK126" s="257"/>
      <c r="AL126" s="258"/>
      <c r="AM126" s="259"/>
      <c r="AN126" s="260"/>
      <c r="AO126" s="261"/>
      <c r="AP126" s="35" t="b">
        <f>IF(BP$37=AE126,AD126)</f>
        <v>0</v>
      </c>
      <c r="AQ126" s="16">
        <f t="shared" si="18"/>
        <v>125</v>
      </c>
      <c r="AR126" s="16" t="b">
        <f t="shared" si="19"/>
        <v>0</v>
      </c>
      <c r="AS126" s="16" t="b">
        <f t="shared" si="20"/>
        <v>0</v>
      </c>
      <c r="AT126" s="16" t="b">
        <f t="shared" si="21"/>
        <v>0</v>
      </c>
      <c r="AU126" s="16" t="b">
        <f t="shared" si="22"/>
        <v>0</v>
      </c>
      <c r="BV126" s="8">
        <v>42</v>
      </c>
      <c r="BW126" s="54">
        <f>LOOKUP(BT$54,BX$2:CK$2,BX126:CK126)</f>
        <v>0</v>
      </c>
    </row>
    <row r="127" spans="30:128" ht="15.95" customHeight="1">
      <c r="AD127" s="131">
        <v>126</v>
      </c>
      <c r="AE127" s="256"/>
      <c r="AF127" s="256"/>
      <c r="AG127" s="256"/>
      <c r="AH127" s="195"/>
      <c r="AI127" s="196"/>
      <c r="AJ127" s="197"/>
      <c r="AK127" s="257"/>
      <c r="AL127" s="258"/>
      <c r="AM127" s="259"/>
      <c r="AN127" s="260"/>
      <c r="AO127" s="261"/>
      <c r="AP127" s="35" t="b">
        <f>IF(BP$37=AE127,AD127)</f>
        <v>0</v>
      </c>
      <c r="AQ127" s="16">
        <f t="shared" si="18"/>
        <v>126</v>
      </c>
      <c r="AR127" s="16" t="b">
        <f t="shared" si="19"/>
        <v>0</v>
      </c>
      <c r="AS127" s="16" t="b">
        <f t="shared" si="20"/>
        <v>0</v>
      </c>
      <c r="AT127" s="16" t="b">
        <f t="shared" si="21"/>
        <v>0</v>
      </c>
      <c r="AU127" s="16" t="b">
        <f t="shared" si="22"/>
        <v>0</v>
      </c>
    </row>
    <row r="128" spans="30:128" ht="15.95" customHeight="1">
      <c r="AD128" s="131">
        <v>127</v>
      </c>
      <c r="AE128" s="256"/>
      <c r="AF128" s="256"/>
      <c r="AG128" s="256"/>
      <c r="AH128" s="195"/>
      <c r="AI128" s="196"/>
      <c r="AJ128" s="197"/>
      <c r="AK128" s="257"/>
      <c r="AL128" s="258"/>
      <c r="AM128" s="259"/>
      <c r="AN128" s="260"/>
      <c r="AO128" s="261"/>
      <c r="AP128" s="35" t="b">
        <f>IF(BP$37=AE128,AD128)</f>
        <v>0</v>
      </c>
      <c r="AQ128" s="16">
        <f t="shared" si="18"/>
        <v>127</v>
      </c>
      <c r="AR128" s="16" t="b">
        <f t="shared" si="19"/>
        <v>0</v>
      </c>
      <c r="AS128" s="16" t="b">
        <f t="shared" si="20"/>
        <v>0</v>
      </c>
      <c r="AT128" s="16" t="b">
        <f t="shared" si="21"/>
        <v>0</v>
      </c>
      <c r="AU128" s="16" t="b">
        <f t="shared" si="22"/>
        <v>0</v>
      </c>
    </row>
    <row r="129" spans="30:131" ht="15.95" customHeight="1">
      <c r="AD129" s="131">
        <v>128</v>
      </c>
      <c r="AE129" s="131"/>
      <c r="AF129" s="131"/>
      <c r="AG129" s="131"/>
      <c r="AP129" s="35" t="b">
        <f t="shared" si="17"/>
        <v>0</v>
      </c>
      <c r="AQ129" s="16">
        <f t="shared" si="18"/>
        <v>128</v>
      </c>
      <c r="AR129" s="16" t="b">
        <f t="shared" si="19"/>
        <v>0</v>
      </c>
      <c r="AS129" s="16" t="b">
        <f t="shared" si="20"/>
        <v>0</v>
      </c>
      <c r="AT129" s="16" t="b">
        <f t="shared" si="21"/>
        <v>0</v>
      </c>
      <c r="AU129" s="16" t="b">
        <f t="shared" si="22"/>
        <v>0</v>
      </c>
      <c r="BV129" s="8">
        <v>43</v>
      </c>
      <c r="BW129" s="54">
        <f>LOOKUP(BT$54,BX$2:CK$2,BX129:CK129)</f>
        <v>0</v>
      </c>
    </row>
    <row r="130" spans="30:131" ht="15.95" customHeight="1">
      <c r="AD130" s="131">
        <v>129</v>
      </c>
      <c r="AE130" s="131"/>
      <c r="AF130" s="131"/>
      <c r="AG130" s="131"/>
      <c r="AP130" s="35" t="b">
        <f t="shared" ref="AP130:AP193" si="26">IF(BP$37&lt;=AE130,AD130)</f>
        <v>0</v>
      </c>
      <c r="AQ130" s="16">
        <f t="shared" ref="AQ130:AQ193" si="27">IF(C$9&gt;=AO130,AD130)</f>
        <v>129</v>
      </c>
      <c r="AR130" s="16" t="b">
        <f t="shared" ref="AR130:AR193" si="28">IF(C$10=AL130,AD130)</f>
        <v>0</v>
      </c>
      <c r="AS130" s="16" t="b">
        <f t="shared" ref="AS130:AS193" si="29">IF(C$11&lt;=AM130,AD130)</f>
        <v>0</v>
      </c>
      <c r="AT130" s="16" t="b">
        <f t="shared" ref="AT130:AT193" si="30">IF(AG130=BL$10,AD130)</f>
        <v>0</v>
      </c>
      <c r="AU130" s="16" t="b">
        <f t="shared" ref="AU130:AU193" si="31">IF(AP130=FALSE,FALSE,IF(AQ130=FALSE,FALSE,IF(AR130=FALSE,FALSE,IF(AS130=FALSE,FALSE,IF(AT130=FALSE,FALSE,AD130)))))</f>
        <v>0</v>
      </c>
    </row>
    <row r="131" spans="30:131" ht="15.95" customHeight="1">
      <c r="AD131" s="131">
        <v>130</v>
      </c>
      <c r="AE131" s="131"/>
      <c r="AF131" s="131"/>
      <c r="AG131" s="131"/>
      <c r="AP131" s="35" t="b">
        <f t="shared" si="26"/>
        <v>0</v>
      </c>
      <c r="AQ131" s="16">
        <f t="shared" si="27"/>
        <v>130</v>
      </c>
      <c r="AR131" s="16" t="b">
        <f t="shared" si="28"/>
        <v>0</v>
      </c>
      <c r="AS131" s="16" t="b">
        <f t="shared" si="29"/>
        <v>0</v>
      </c>
      <c r="AT131" s="16" t="b">
        <f t="shared" si="30"/>
        <v>0</v>
      </c>
      <c r="AU131" s="16" t="b">
        <f t="shared" si="31"/>
        <v>0</v>
      </c>
    </row>
    <row r="132" spans="30:131" ht="15.95" customHeight="1">
      <c r="AD132" s="131">
        <v>131</v>
      </c>
      <c r="AE132" s="131"/>
      <c r="AF132" s="131"/>
      <c r="AG132" s="131"/>
      <c r="AP132" s="35" t="b">
        <f t="shared" si="26"/>
        <v>0</v>
      </c>
      <c r="AQ132" s="16">
        <f t="shared" si="27"/>
        <v>131</v>
      </c>
      <c r="AR132" s="16" t="b">
        <f t="shared" si="28"/>
        <v>0</v>
      </c>
      <c r="AS132" s="16" t="b">
        <f t="shared" si="29"/>
        <v>0</v>
      </c>
      <c r="AT132" s="16" t="b">
        <f t="shared" si="30"/>
        <v>0</v>
      </c>
      <c r="AU132" s="16" t="b">
        <f t="shared" si="31"/>
        <v>0</v>
      </c>
      <c r="BV132" s="8">
        <v>44</v>
      </c>
      <c r="BW132" s="54">
        <f>LOOKUP(BT$54,BX$2:CK$2,BX132:CK132)</f>
        <v>0</v>
      </c>
    </row>
    <row r="133" spans="30:131" ht="15.95" customHeight="1">
      <c r="AD133" s="131">
        <v>132</v>
      </c>
      <c r="AE133" s="131"/>
      <c r="AF133" s="131"/>
      <c r="AG133" s="131"/>
      <c r="AP133" s="35" t="b">
        <f t="shared" si="26"/>
        <v>0</v>
      </c>
      <c r="AQ133" s="16">
        <f t="shared" si="27"/>
        <v>132</v>
      </c>
      <c r="AR133" s="16" t="b">
        <f t="shared" si="28"/>
        <v>0</v>
      </c>
      <c r="AS133" s="16" t="b">
        <f t="shared" si="29"/>
        <v>0</v>
      </c>
      <c r="AT133" s="16" t="b">
        <f t="shared" si="30"/>
        <v>0</v>
      </c>
      <c r="AU133" s="16" t="b">
        <f t="shared" si="31"/>
        <v>0</v>
      </c>
    </row>
    <row r="134" spans="30:131" ht="15.95" customHeight="1">
      <c r="AD134" s="131">
        <v>133</v>
      </c>
      <c r="AE134" s="131"/>
      <c r="AF134" s="131"/>
      <c r="AG134" s="131"/>
      <c r="AP134" s="35" t="b">
        <f t="shared" si="26"/>
        <v>0</v>
      </c>
      <c r="AQ134" s="16">
        <f t="shared" si="27"/>
        <v>133</v>
      </c>
      <c r="AR134" s="16" t="b">
        <f t="shared" si="28"/>
        <v>0</v>
      </c>
      <c r="AS134" s="16" t="b">
        <f t="shared" si="29"/>
        <v>0</v>
      </c>
      <c r="AT134" s="16" t="b">
        <f t="shared" si="30"/>
        <v>0</v>
      </c>
      <c r="AU134" s="16" t="b">
        <f t="shared" si="31"/>
        <v>0</v>
      </c>
    </row>
    <row r="135" spans="30:131" ht="15.95" customHeight="1">
      <c r="AD135" s="131">
        <v>134</v>
      </c>
      <c r="AE135" s="131"/>
      <c r="AF135" s="131"/>
      <c r="AG135" s="131"/>
      <c r="AP135" s="35" t="b">
        <f t="shared" si="26"/>
        <v>0</v>
      </c>
      <c r="AQ135" s="16">
        <f t="shared" si="27"/>
        <v>134</v>
      </c>
      <c r="AR135" s="16" t="b">
        <f t="shared" si="28"/>
        <v>0</v>
      </c>
      <c r="AS135" s="16" t="b">
        <f t="shared" si="29"/>
        <v>0</v>
      </c>
      <c r="AT135" s="16" t="b">
        <f t="shared" si="30"/>
        <v>0</v>
      </c>
      <c r="AU135" s="16" t="b">
        <f t="shared" si="31"/>
        <v>0</v>
      </c>
      <c r="BV135" s="8">
        <v>45</v>
      </c>
      <c r="BW135" s="54">
        <f>LOOKUP(BT$54,BX$2:CK$2,BX135:CK135)</f>
        <v>0</v>
      </c>
    </row>
    <row r="136" spans="30:131" ht="15.95" customHeight="1">
      <c r="AD136" s="131">
        <v>135</v>
      </c>
      <c r="AE136" s="131"/>
      <c r="AF136" s="131"/>
      <c r="AG136" s="131"/>
      <c r="AP136" s="35" t="b">
        <f t="shared" si="26"/>
        <v>0</v>
      </c>
      <c r="AQ136" s="16">
        <f t="shared" si="27"/>
        <v>135</v>
      </c>
      <c r="AR136" s="16" t="b">
        <f t="shared" si="28"/>
        <v>0</v>
      </c>
      <c r="AS136" s="16" t="b">
        <f t="shared" si="29"/>
        <v>0</v>
      </c>
      <c r="AT136" s="16" t="b">
        <f t="shared" si="30"/>
        <v>0</v>
      </c>
      <c r="AU136" s="16" t="b">
        <f t="shared" si="31"/>
        <v>0</v>
      </c>
      <c r="DZ136" s="26"/>
      <c r="EA136" s="53"/>
    </row>
    <row r="137" spans="30:131" ht="15.95" customHeight="1">
      <c r="AD137" s="131">
        <v>136</v>
      </c>
      <c r="AE137" s="131"/>
      <c r="AF137" s="131"/>
      <c r="AG137" s="131"/>
      <c r="AP137" s="35" t="b">
        <f t="shared" si="26"/>
        <v>0</v>
      </c>
      <c r="AQ137" s="16">
        <f t="shared" si="27"/>
        <v>136</v>
      </c>
      <c r="AR137" s="16" t="b">
        <f t="shared" si="28"/>
        <v>0</v>
      </c>
      <c r="AS137" s="16" t="b">
        <f t="shared" si="29"/>
        <v>0</v>
      </c>
      <c r="AT137" s="16" t="b">
        <f t="shared" si="30"/>
        <v>0</v>
      </c>
      <c r="AU137" s="16" t="b">
        <f t="shared" si="31"/>
        <v>0</v>
      </c>
    </row>
    <row r="138" spans="30:131" ht="15.95" customHeight="1">
      <c r="AD138" s="131">
        <v>137</v>
      </c>
      <c r="AE138" s="131"/>
      <c r="AF138" s="131"/>
      <c r="AG138" s="131"/>
      <c r="AP138" s="35" t="b">
        <f t="shared" si="26"/>
        <v>0</v>
      </c>
      <c r="AQ138" s="16">
        <f t="shared" si="27"/>
        <v>137</v>
      </c>
      <c r="AR138" s="16" t="b">
        <f t="shared" si="28"/>
        <v>0</v>
      </c>
      <c r="AS138" s="16" t="b">
        <f t="shared" si="29"/>
        <v>0</v>
      </c>
      <c r="AT138" s="16" t="b">
        <f t="shared" si="30"/>
        <v>0</v>
      </c>
      <c r="AU138" s="16" t="b">
        <f t="shared" si="31"/>
        <v>0</v>
      </c>
      <c r="BV138" s="8">
        <v>46</v>
      </c>
      <c r="BW138" s="54">
        <f>LOOKUP(BT$54,BX$2:CK$2,BX138:CK138)</f>
        <v>0</v>
      </c>
    </row>
    <row r="139" spans="30:131" ht="15.95" customHeight="1">
      <c r="AD139" s="131">
        <v>138</v>
      </c>
      <c r="AE139" s="131"/>
      <c r="AF139" s="131"/>
      <c r="AG139" s="131"/>
      <c r="AP139" s="35" t="b">
        <f t="shared" si="26"/>
        <v>0</v>
      </c>
      <c r="AQ139" s="16">
        <f t="shared" si="27"/>
        <v>138</v>
      </c>
      <c r="AR139" s="16" t="b">
        <f t="shared" si="28"/>
        <v>0</v>
      </c>
      <c r="AS139" s="16" t="b">
        <f t="shared" si="29"/>
        <v>0</v>
      </c>
      <c r="AT139" s="16" t="b">
        <f t="shared" si="30"/>
        <v>0</v>
      </c>
      <c r="AU139" s="16" t="b">
        <f t="shared" si="31"/>
        <v>0</v>
      </c>
    </row>
    <row r="140" spans="30:131" ht="15.95" customHeight="1">
      <c r="AD140" s="131">
        <v>139</v>
      </c>
      <c r="AE140" s="131"/>
      <c r="AF140" s="131"/>
      <c r="AG140" s="131"/>
      <c r="AP140" s="35" t="b">
        <f t="shared" si="26"/>
        <v>0</v>
      </c>
      <c r="AQ140" s="16">
        <f t="shared" si="27"/>
        <v>139</v>
      </c>
      <c r="AR140" s="16" t="b">
        <f t="shared" si="28"/>
        <v>0</v>
      </c>
      <c r="AS140" s="16" t="b">
        <f t="shared" si="29"/>
        <v>0</v>
      </c>
      <c r="AT140" s="16" t="b">
        <f t="shared" si="30"/>
        <v>0</v>
      </c>
      <c r="AU140" s="16" t="b">
        <f t="shared" si="31"/>
        <v>0</v>
      </c>
    </row>
    <row r="141" spans="30:131" ht="15.95" customHeight="1">
      <c r="AD141" s="131">
        <v>140</v>
      </c>
      <c r="AE141" s="131"/>
      <c r="AF141" s="131"/>
      <c r="AG141" s="131"/>
      <c r="AP141" s="35" t="b">
        <f t="shared" si="26"/>
        <v>0</v>
      </c>
      <c r="AQ141" s="16">
        <f t="shared" si="27"/>
        <v>140</v>
      </c>
      <c r="AR141" s="16" t="b">
        <f t="shared" si="28"/>
        <v>0</v>
      </c>
      <c r="AS141" s="16" t="b">
        <f t="shared" si="29"/>
        <v>0</v>
      </c>
      <c r="AT141" s="16" t="b">
        <f t="shared" si="30"/>
        <v>0</v>
      </c>
      <c r="AU141" s="16" t="b">
        <f t="shared" si="31"/>
        <v>0</v>
      </c>
      <c r="BV141" s="8">
        <v>47</v>
      </c>
      <c r="BW141" s="54">
        <f>LOOKUP(BT$54,BX$2:CK$2,BX141:CK141)</f>
        <v>0</v>
      </c>
    </row>
    <row r="142" spans="30:131" ht="15.95" customHeight="1">
      <c r="AD142" s="131">
        <v>141</v>
      </c>
      <c r="AE142" s="131"/>
      <c r="AF142" s="131"/>
      <c r="AG142" s="131"/>
      <c r="AP142" s="35" t="b">
        <f t="shared" si="26"/>
        <v>0</v>
      </c>
      <c r="AQ142" s="16">
        <f t="shared" si="27"/>
        <v>141</v>
      </c>
      <c r="AR142" s="16" t="b">
        <f t="shared" si="28"/>
        <v>0</v>
      </c>
      <c r="AS142" s="16" t="b">
        <f t="shared" si="29"/>
        <v>0</v>
      </c>
      <c r="AT142" s="16" t="b">
        <f t="shared" si="30"/>
        <v>0</v>
      </c>
      <c r="AU142" s="16" t="b">
        <f t="shared" si="31"/>
        <v>0</v>
      </c>
    </row>
    <row r="143" spans="30:131" ht="15.95" customHeight="1">
      <c r="AD143" s="131">
        <v>142</v>
      </c>
      <c r="AE143" s="131"/>
      <c r="AF143" s="131"/>
      <c r="AG143" s="131"/>
      <c r="AP143" s="35" t="b">
        <f t="shared" si="26"/>
        <v>0</v>
      </c>
      <c r="AQ143" s="16">
        <f t="shared" si="27"/>
        <v>142</v>
      </c>
      <c r="AR143" s="16" t="b">
        <f t="shared" si="28"/>
        <v>0</v>
      </c>
      <c r="AS143" s="16" t="b">
        <f t="shared" si="29"/>
        <v>0</v>
      </c>
      <c r="AT143" s="16" t="b">
        <f t="shared" si="30"/>
        <v>0</v>
      </c>
      <c r="AU143" s="16" t="b">
        <f t="shared" si="31"/>
        <v>0</v>
      </c>
    </row>
    <row r="144" spans="30:131" ht="15.95" customHeight="1">
      <c r="AD144" s="131">
        <v>143</v>
      </c>
      <c r="AE144" s="131"/>
      <c r="AF144" s="131"/>
      <c r="AG144" s="131"/>
      <c r="AP144" s="35" t="b">
        <f t="shared" si="26"/>
        <v>0</v>
      </c>
      <c r="AQ144" s="16">
        <f t="shared" si="27"/>
        <v>143</v>
      </c>
      <c r="AR144" s="16" t="b">
        <f t="shared" si="28"/>
        <v>0</v>
      </c>
      <c r="AS144" s="16" t="b">
        <f t="shared" si="29"/>
        <v>0</v>
      </c>
      <c r="AT144" s="16" t="b">
        <f t="shared" si="30"/>
        <v>0</v>
      </c>
      <c r="AU144" s="16" t="b">
        <f t="shared" si="31"/>
        <v>0</v>
      </c>
      <c r="BV144" s="8">
        <v>48</v>
      </c>
      <c r="BW144" s="54">
        <f>LOOKUP(BT$54,BX$2:CK$2,BX144:CK144)</f>
        <v>0</v>
      </c>
    </row>
    <row r="145" spans="30:131" ht="15.95" customHeight="1">
      <c r="AD145" s="131">
        <v>144</v>
      </c>
      <c r="AE145" s="131"/>
      <c r="AF145" s="131"/>
      <c r="AG145" s="131"/>
      <c r="AP145" s="35" t="b">
        <f t="shared" si="26"/>
        <v>0</v>
      </c>
      <c r="AQ145" s="16">
        <f t="shared" si="27"/>
        <v>144</v>
      </c>
      <c r="AR145" s="16" t="b">
        <f t="shared" si="28"/>
        <v>0</v>
      </c>
      <c r="AS145" s="16" t="b">
        <f t="shared" si="29"/>
        <v>0</v>
      </c>
      <c r="AT145" s="16" t="b">
        <f t="shared" si="30"/>
        <v>0</v>
      </c>
      <c r="AU145" s="16" t="b">
        <f t="shared" si="31"/>
        <v>0</v>
      </c>
    </row>
    <row r="146" spans="30:131" ht="15.95" customHeight="1">
      <c r="AD146" s="131">
        <v>145</v>
      </c>
      <c r="AE146" s="131"/>
      <c r="AF146" s="131"/>
      <c r="AG146" s="131"/>
      <c r="AP146" s="35" t="b">
        <f t="shared" si="26"/>
        <v>0</v>
      </c>
      <c r="AQ146" s="16">
        <f t="shared" si="27"/>
        <v>145</v>
      </c>
      <c r="AR146" s="16" t="b">
        <f t="shared" si="28"/>
        <v>0</v>
      </c>
      <c r="AS146" s="16" t="b">
        <f t="shared" si="29"/>
        <v>0</v>
      </c>
      <c r="AT146" s="16" t="b">
        <f t="shared" si="30"/>
        <v>0</v>
      </c>
      <c r="AU146" s="16" t="b">
        <f t="shared" si="31"/>
        <v>0</v>
      </c>
    </row>
    <row r="147" spans="30:131" ht="15.95" customHeight="1">
      <c r="AD147" s="131">
        <v>146</v>
      </c>
      <c r="AE147" s="131"/>
      <c r="AF147" s="131"/>
      <c r="AG147" s="131"/>
      <c r="AP147" s="35" t="b">
        <f t="shared" si="26"/>
        <v>0</v>
      </c>
      <c r="AQ147" s="16">
        <f t="shared" si="27"/>
        <v>146</v>
      </c>
      <c r="AR147" s="16" t="b">
        <f t="shared" si="28"/>
        <v>0</v>
      </c>
      <c r="AS147" s="16" t="b">
        <f t="shared" si="29"/>
        <v>0</v>
      </c>
      <c r="AT147" s="16" t="b">
        <f t="shared" si="30"/>
        <v>0</v>
      </c>
      <c r="AU147" s="16" t="b">
        <f t="shared" si="31"/>
        <v>0</v>
      </c>
      <c r="BV147" s="8">
        <v>49</v>
      </c>
      <c r="BW147" s="54">
        <f>LOOKUP(BT$54,BX$2:CK$2,BX147:CK147)</f>
        <v>0</v>
      </c>
    </row>
    <row r="148" spans="30:131" ht="15.95" customHeight="1">
      <c r="AD148" s="131">
        <v>147</v>
      </c>
      <c r="AE148" s="131"/>
      <c r="AF148" s="131"/>
      <c r="AG148" s="131"/>
      <c r="AP148" s="35" t="b">
        <f t="shared" si="26"/>
        <v>0</v>
      </c>
      <c r="AQ148" s="16">
        <f t="shared" si="27"/>
        <v>147</v>
      </c>
      <c r="AR148" s="16" t="b">
        <f t="shared" si="28"/>
        <v>0</v>
      </c>
      <c r="AS148" s="16" t="b">
        <f t="shared" si="29"/>
        <v>0</v>
      </c>
      <c r="AT148" s="16" t="b">
        <f t="shared" si="30"/>
        <v>0</v>
      </c>
      <c r="AU148" s="16" t="b">
        <f t="shared" si="31"/>
        <v>0</v>
      </c>
      <c r="DZ148" s="26"/>
      <c r="EA148" s="201"/>
    </row>
    <row r="149" spans="30:131" ht="15.95" customHeight="1">
      <c r="AD149" s="131">
        <v>148</v>
      </c>
      <c r="AE149" s="131"/>
      <c r="AF149" s="131"/>
      <c r="AG149" s="131"/>
      <c r="AP149" s="35" t="b">
        <f t="shared" si="26"/>
        <v>0</v>
      </c>
      <c r="AQ149" s="16">
        <f t="shared" si="27"/>
        <v>148</v>
      </c>
      <c r="AR149" s="16" t="b">
        <f t="shared" si="28"/>
        <v>0</v>
      </c>
      <c r="AS149" s="16" t="b">
        <f t="shared" si="29"/>
        <v>0</v>
      </c>
      <c r="AT149" s="16" t="b">
        <f t="shared" si="30"/>
        <v>0</v>
      </c>
      <c r="AU149" s="16" t="b">
        <f t="shared" si="31"/>
        <v>0</v>
      </c>
    </row>
    <row r="150" spans="30:131" ht="15.95" customHeight="1">
      <c r="AD150" s="131">
        <v>149</v>
      </c>
      <c r="AE150" s="131"/>
      <c r="AF150" s="131"/>
      <c r="AG150" s="131"/>
      <c r="AP150" s="35" t="b">
        <f t="shared" si="26"/>
        <v>0</v>
      </c>
      <c r="AQ150" s="16">
        <f t="shared" si="27"/>
        <v>149</v>
      </c>
      <c r="AR150" s="16" t="b">
        <f t="shared" si="28"/>
        <v>0</v>
      </c>
      <c r="AS150" s="16" t="b">
        <f t="shared" si="29"/>
        <v>0</v>
      </c>
      <c r="AT150" s="16" t="b">
        <f t="shared" si="30"/>
        <v>0</v>
      </c>
      <c r="AU150" s="16" t="b">
        <f t="shared" si="31"/>
        <v>0</v>
      </c>
    </row>
    <row r="151" spans="30:131" ht="15.95" customHeight="1">
      <c r="AD151" s="131">
        <v>150</v>
      </c>
      <c r="AE151" s="131"/>
      <c r="AF151" s="131"/>
      <c r="AG151" s="131"/>
      <c r="AP151" s="35" t="b">
        <f t="shared" si="26"/>
        <v>0</v>
      </c>
      <c r="AQ151" s="16">
        <f t="shared" si="27"/>
        <v>150</v>
      </c>
      <c r="AR151" s="16" t="b">
        <f t="shared" si="28"/>
        <v>0</v>
      </c>
      <c r="AS151" s="16" t="b">
        <f t="shared" si="29"/>
        <v>0</v>
      </c>
      <c r="AT151" s="16" t="b">
        <f t="shared" si="30"/>
        <v>0</v>
      </c>
      <c r="AU151" s="16" t="b">
        <f t="shared" si="31"/>
        <v>0</v>
      </c>
    </row>
    <row r="152" spans="30:131" ht="15.95" customHeight="1">
      <c r="AD152" s="131">
        <v>151</v>
      </c>
      <c r="AE152" s="131"/>
      <c r="AF152" s="131"/>
      <c r="AG152" s="131"/>
      <c r="AP152" s="35" t="b">
        <f t="shared" si="26"/>
        <v>0</v>
      </c>
      <c r="AQ152" s="16">
        <f t="shared" si="27"/>
        <v>151</v>
      </c>
      <c r="AR152" s="16" t="b">
        <f t="shared" si="28"/>
        <v>0</v>
      </c>
      <c r="AS152" s="16" t="b">
        <f t="shared" si="29"/>
        <v>0</v>
      </c>
      <c r="AT152" s="16" t="b">
        <f t="shared" si="30"/>
        <v>0</v>
      </c>
      <c r="AU152" s="16" t="b">
        <f t="shared" si="31"/>
        <v>0</v>
      </c>
    </row>
    <row r="153" spans="30:131" ht="15.95" customHeight="1">
      <c r="AD153" s="131">
        <v>152</v>
      </c>
      <c r="AE153" s="131"/>
      <c r="AF153" s="131"/>
      <c r="AG153" s="131"/>
      <c r="AP153" s="35" t="b">
        <f t="shared" si="26"/>
        <v>0</v>
      </c>
      <c r="AQ153" s="16">
        <f t="shared" si="27"/>
        <v>152</v>
      </c>
      <c r="AR153" s="16" t="b">
        <f t="shared" si="28"/>
        <v>0</v>
      </c>
      <c r="AS153" s="16" t="b">
        <f t="shared" si="29"/>
        <v>0</v>
      </c>
      <c r="AT153" s="16" t="b">
        <f t="shared" si="30"/>
        <v>0</v>
      </c>
      <c r="AU153" s="16" t="b">
        <f t="shared" si="31"/>
        <v>0</v>
      </c>
    </row>
    <row r="154" spans="30:131" ht="15.95" customHeight="1">
      <c r="AD154" s="131">
        <v>153</v>
      </c>
      <c r="AE154" s="131"/>
      <c r="AF154" s="131"/>
      <c r="AG154" s="131"/>
      <c r="AP154" s="35" t="b">
        <f t="shared" si="26"/>
        <v>0</v>
      </c>
      <c r="AQ154" s="16">
        <f t="shared" si="27"/>
        <v>153</v>
      </c>
      <c r="AR154" s="16" t="b">
        <f t="shared" si="28"/>
        <v>0</v>
      </c>
      <c r="AS154" s="16" t="b">
        <f t="shared" si="29"/>
        <v>0</v>
      </c>
      <c r="AT154" s="16" t="b">
        <f t="shared" si="30"/>
        <v>0</v>
      </c>
      <c r="AU154" s="16" t="b">
        <f t="shared" si="31"/>
        <v>0</v>
      </c>
    </row>
    <row r="155" spans="30:131" ht="15.95" customHeight="1">
      <c r="AD155" s="131">
        <v>154</v>
      </c>
      <c r="AE155" s="131"/>
      <c r="AF155" s="131"/>
      <c r="AG155" s="131"/>
      <c r="AP155" s="35" t="b">
        <f t="shared" si="26"/>
        <v>0</v>
      </c>
      <c r="AQ155" s="16">
        <f t="shared" si="27"/>
        <v>154</v>
      </c>
      <c r="AR155" s="16" t="b">
        <f t="shared" si="28"/>
        <v>0</v>
      </c>
      <c r="AS155" s="16" t="b">
        <f t="shared" si="29"/>
        <v>0</v>
      </c>
      <c r="AT155" s="16" t="b">
        <f t="shared" si="30"/>
        <v>0</v>
      </c>
      <c r="AU155" s="16" t="b">
        <f t="shared" si="31"/>
        <v>0</v>
      </c>
    </row>
    <row r="156" spans="30:131" ht="15.95" customHeight="1">
      <c r="AD156" s="131">
        <v>155</v>
      </c>
      <c r="AE156" s="131"/>
      <c r="AF156" s="131"/>
      <c r="AG156" s="131"/>
      <c r="AP156" s="35" t="b">
        <f t="shared" si="26"/>
        <v>0</v>
      </c>
      <c r="AQ156" s="16">
        <f t="shared" si="27"/>
        <v>155</v>
      </c>
      <c r="AR156" s="16" t="b">
        <f t="shared" si="28"/>
        <v>0</v>
      </c>
      <c r="AS156" s="16" t="b">
        <f t="shared" si="29"/>
        <v>0</v>
      </c>
      <c r="AT156" s="16" t="b">
        <f t="shared" si="30"/>
        <v>0</v>
      </c>
      <c r="AU156" s="16" t="b">
        <f t="shared" si="31"/>
        <v>0</v>
      </c>
    </row>
    <row r="157" spans="30:131" ht="15.95" customHeight="1">
      <c r="AD157" s="131">
        <v>156</v>
      </c>
      <c r="AE157" s="131"/>
      <c r="AF157" s="131"/>
      <c r="AG157" s="131"/>
      <c r="AP157" s="35" t="b">
        <f t="shared" si="26"/>
        <v>0</v>
      </c>
      <c r="AQ157" s="16">
        <f t="shared" si="27"/>
        <v>156</v>
      </c>
      <c r="AR157" s="16" t="b">
        <f t="shared" si="28"/>
        <v>0</v>
      </c>
      <c r="AS157" s="16" t="b">
        <f t="shared" si="29"/>
        <v>0</v>
      </c>
      <c r="AT157" s="16" t="b">
        <f t="shared" si="30"/>
        <v>0</v>
      </c>
      <c r="AU157" s="16" t="b">
        <f t="shared" si="31"/>
        <v>0</v>
      </c>
    </row>
    <row r="158" spans="30:131" ht="15.95" customHeight="1">
      <c r="AD158" s="131">
        <v>157</v>
      </c>
      <c r="AE158" s="131"/>
      <c r="AF158" s="131"/>
      <c r="AG158" s="131"/>
      <c r="AP158" s="35" t="b">
        <f t="shared" si="26"/>
        <v>0</v>
      </c>
      <c r="AQ158" s="16">
        <f t="shared" si="27"/>
        <v>157</v>
      </c>
      <c r="AR158" s="16" t="b">
        <f t="shared" si="28"/>
        <v>0</v>
      </c>
      <c r="AS158" s="16" t="b">
        <f t="shared" si="29"/>
        <v>0</v>
      </c>
      <c r="AT158" s="16" t="b">
        <f t="shared" si="30"/>
        <v>0</v>
      </c>
      <c r="AU158" s="16" t="b">
        <f t="shared" si="31"/>
        <v>0</v>
      </c>
    </row>
    <row r="159" spans="30:131" ht="15.95" customHeight="1">
      <c r="AD159" s="131">
        <v>158</v>
      </c>
      <c r="AE159" s="131"/>
      <c r="AF159" s="131"/>
      <c r="AG159" s="131"/>
      <c r="AP159" s="35" t="b">
        <f t="shared" si="26"/>
        <v>0</v>
      </c>
      <c r="AQ159" s="16">
        <f t="shared" si="27"/>
        <v>158</v>
      </c>
      <c r="AR159" s="16" t="b">
        <f t="shared" si="28"/>
        <v>0</v>
      </c>
      <c r="AS159" s="16" t="b">
        <f t="shared" si="29"/>
        <v>0</v>
      </c>
      <c r="AT159" s="16" t="b">
        <f t="shared" si="30"/>
        <v>0</v>
      </c>
      <c r="AU159" s="16" t="b">
        <f t="shared" si="31"/>
        <v>0</v>
      </c>
    </row>
    <row r="160" spans="30:131" ht="15.95" customHeight="1">
      <c r="AD160" s="131">
        <v>159</v>
      </c>
      <c r="AE160" s="131"/>
      <c r="AF160" s="131"/>
      <c r="AG160" s="131"/>
      <c r="AP160" s="35" t="b">
        <f t="shared" si="26"/>
        <v>0</v>
      </c>
      <c r="AQ160" s="16">
        <f t="shared" si="27"/>
        <v>159</v>
      </c>
      <c r="AR160" s="16" t="b">
        <f t="shared" si="28"/>
        <v>0</v>
      </c>
      <c r="AS160" s="16" t="b">
        <f t="shared" si="29"/>
        <v>0</v>
      </c>
      <c r="AT160" s="16" t="b">
        <f t="shared" si="30"/>
        <v>0</v>
      </c>
      <c r="AU160" s="16" t="b">
        <f t="shared" si="31"/>
        <v>0</v>
      </c>
    </row>
    <row r="161" spans="30:131" ht="15.95" customHeight="1">
      <c r="AD161" s="131">
        <v>160</v>
      </c>
      <c r="AE161" s="131"/>
      <c r="AF161" s="131"/>
      <c r="AG161" s="131"/>
      <c r="AP161" s="35" t="b">
        <f t="shared" si="26"/>
        <v>0</v>
      </c>
      <c r="AQ161" s="16">
        <f t="shared" si="27"/>
        <v>160</v>
      </c>
      <c r="AR161" s="16" t="b">
        <f t="shared" si="28"/>
        <v>0</v>
      </c>
      <c r="AS161" s="16" t="b">
        <f t="shared" si="29"/>
        <v>0</v>
      </c>
      <c r="AT161" s="16" t="b">
        <f t="shared" si="30"/>
        <v>0</v>
      </c>
      <c r="AU161" s="16" t="b">
        <f t="shared" si="31"/>
        <v>0</v>
      </c>
    </row>
    <row r="162" spans="30:131" ht="15.95" customHeight="1">
      <c r="AD162" s="131">
        <v>161</v>
      </c>
      <c r="AE162" s="131"/>
      <c r="AF162" s="131"/>
      <c r="AG162" s="131"/>
      <c r="AP162" s="35" t="b">
        <f t="shared" si="26"/>
        <v>0</v>
      </c>
      <c r="AQ162" s="16">
        <f t="shared" si="27"/>
        <v>161</v>
      </c>
      <c r="AR162" s="16" t="b">
        <f t="shared" si="28"/>
        <v>0</v>
      </c>
      <c r="AS162" s="16" t="b">
        <f t="shared" si="29"/>
        <v>0</v>
      </c>
      <c r="AT162" s="16" t="b">
        <f t="shared" si="30"/>
        <v>0</v>
      </c>
      <c r="AU162" s="16" t="b">
        <f t="shared" si="31"/>
        <v>0</v>
      </c>
    </row>
    <row r="163" spans="30:131" ht="15.95" customHeight="1">
      <c r="AD163" s="131">
        <v>162</v>
      </c>
      <c r="AE163" s="131"/>
      <c r="AF163" s="131"/>
      <c r="AG163" s="131"/>
      <c r="AP163" s="35" t="b">
        <f t="shared" si="26"/>
        <v>0</v>
      </c>
      <c r="AQ163" s="16">
        <f t="shared" si="27"/>
        <v>162</v>
      </c>
      <c r="AR163" s="16" t="b">
        <f t="shared" si="28"/>
        <v>0</v>
      </c>
      <c r="AS163" s="16" t="b">
        <f t="shared" si="29"/>
        <v>0</v>
      </c>
      <c r="AT163" s="16" t="b">
        <f t="shared" si="30"/>
        <v>0</v>
      </c>
      <c r="AU163" s="16" t="b">
        <f t="shared" si="31"/>
        <v>0</v>
      </c>
    </row>
    <row r="164" spans="30:131" ht="15.95" customHeight="1">
      <c r="AD164" s="131">
        <v>163</v>
      </c>
      <c r="AE164" s="131"/>
      <c r="AF164" s="131"/>
      <c r="AG164" s="131"/>
      <c r="AP164" s="35" t="b">
        <f t="shared" si="26"/>
        <v>0</v>
      </c>
      <c r="AQ164" s="16">
        <f t="shared" si="27"/>
        <v>163</v>
      </c>
      <c r="AR164" s="16" t="b">
        <f t="shared" si="28"/>
        <v>0</v>
      </c>
      <c r="AS164" s="16" t="b">
        <f t="shared" si="29"/>
        <v>0</v>
      </c>
      <c r="AT164" s="16" t="b">
        <f t="shared" si="30"/>
        <v>0</v>
      </c>
      <c r="AU164" s="16" t="b">
        <f t="shared" si="31"/>
        <v>0</v>
      </c>
    </row>
    <row r="165" spans="30:131" ht="15.95" customHeight="1">
      <c r="AD165" s="131">
        <v>164</v>
      </c>
      <c r="AE165" s="131"/>
      <c r="AF165" s="131"/>
      <c r="AG165" s="131"/>
      <c r="AP165" s="35" t="b">
        <f t="shared" si="26"/>
        <v>0</v>
      </c>
      <c r="AQ165" s="16">
        <f t="shared" si="27"/>
        <v>164</v>
      </c>
      <c r="AR165" s="16" t="b">
        <f t="shared" si="28"/>
        <v>0</v>
      </c>
      <c r="AS165" s="16" t="b">
        <f t="shared" si="29"/>
        <v>0</v>
      </c>
      <c r="AT165" s="16" t="b">
        <f t="shared" si="30"/>
        <v>0</v>
      </c>
      <c r="AU165" s="16" t="b">
        <f t="shared" si="31"/>
        <v>0</v>
      </c>
    </row>
    <row r="166" spans="30:131" ht="15.95" customHeight="1">
      <c r="AD166" s="131">
        <v>165</v>
      </c>
      <c r="AE166" s="131"/>
      <c r="AF166" s="131"/>
      <c r="AG166" s="131"/>
      <c r="AP166" s="35" t="b">
        <f t="shared" si="26"/>
        <v>0</v>
      </c>
      <c r="AQ166" s="16">
        <f t="shared" si="27"/>
        <v>165</v>
      </c>
      <c r="AR166" s="16" t="b">
        <f t="shared" si="28"/>
        <v>0</v>
      </c>
      <c r="AS166" s="16" t="b">
        <f t="shared" si="29"/>
        <v>0</v>
      </c>
      <c r="AT166" s="16" t="b">
        <f t="shared" si="30"/>
        <v>0</v>
      </c>
      <c r="AU166" s="16" t="b">
        <f t="shared" si="31"/>
        <v>0</v>
      </c>
    </row>
    <row r="167" spans="30:131" ht="15.95" customHeight="1">
      <c r="AD167" s="131">
        <v>166</v>
      </c>
      <c r="AE167" s="131"/>
      <c r="AF167" s="131"/>
      <c r="AG167" s="131"/>
      <c r="AP167" s="35" t="b">
        <f t="shared" si="26"/>
        <v>0</v>
      </c>
      <c r="AQ167" s="16">
        <f t="shared" si="27"/>
        <v>166</v>
      </c>
      <c r="AR167" s="16" t="b">
        <f t="shared" si="28"/>
        <v>0</v>
      </c>
      <c r="AS167" s="16" t="b">
        <f t="shared" si="29"/>
        <v>0</v>
      </c>
      <c r="AT167" s="16" t="b">
        <f t="shared" si="30"/>
        <v>0</v>
      </c>
      <c r="AU167" s="16" t="b">
        <f t="shared" si="31"/>
        <v>0</v>
      </c>
    </row>
    <row r="168" spans="30:131" ht="15.95" customHeight="1">
      <c r="AD168" s="131">
        <v>167</v>
      </c>
      <c r="AE168" s="131"/>
      <c r="AF168" s="131"/>
      <c r="AG168" s="131"/>
      <c r="AP168" s="35" t="b">
        <f t="shared" si="26"/>
        <v>0</v>
      </c>
      <c r="AQ168" s="16">
        <f t="shared" si="27"/>
        <v>167</v>
      </c>
      <c r="AR168" s="16" t="b">
        <f t="shared" si="28"/>
        <v>0</v>
      </c>
      <c r="AS168" s="16" t="b">
        <f t="shared" si="29"/>
        <v>0</v>
      </c>
      <c r="AT168" s="16" t="b">
        <f t="shared" si="30"/>
        <v>0</v>
      </c>
      <c r="AU168" s="16" t="b">
        <f t="shared" si="31"/>
        <v>0</v>
      </c>
    </row>
    <row r="169" spans="30:131" ht="15.95" customHeight="1">
      <c r="AD169" s="131">
        <v>168</v>
      </c>
      <c r="AE169" s="131"/>
      <c r="AF169" s="131"/>
      <c r="AG169" s="131"/>
      <c r="AP169" s="35" t="b">
        <f t="shared" si="26"/>
        <v>0</v>
      </c>
      <c r="AQ169" s="16">
        <f t="shared" si="27"/>
        <v>168</v>
      </c>
      <c r="AR169" s="16" t="b">
        <f t="shared" si="28"/>
        <v>0</v>
      </c>
      <c r="AS169" s="16" t="b">
        <f t="shared" si="29"/>
        <v>0</v>
      </c>
      <c r="AT169" s="16" t="b">
        <f t="shared" si="30"/>
        <v>0</v>
      </c>
      <c r="AU169" s="16" t="b">
        <f t="shared" si="31"/>
        <v>0</v>
      </c>
    </row>
    <row r="170" spans="30:131" ht="15.95" customHeight="1">
      <c r="AD170" s="131">
        <v>169</v>
      </c>
      <c r="AE170" s="131"/>
      <c r="AF170" s="131"/>
      <c r="AG170" s="131"/>
      <c r="AP170" s="35" t="b">
        <f t="shared" si="26"/>
        <v>0</v>
      </c>
      <c r="AQ170" s="16">
        <f t="shared" si="27"/>
        <v>169</v>
      </c>
      <c r="AR170" s="16" t="b">
        <f t="shared" si="28"/>
        <v>0</v>
      </c>
      <c r="AS170" s="16" t="b">
        <f t="shared" si="29"/>
        <v>0</v>
      </c>
      <c r="AT170" s="16" t="b">
        <f t="shared" si="30"/>
        <v>0</v>
      </c>
      <c r="AU170" s="16" t="b">
        <f t="shared" si="31"/>
        <v>0</v>
      </c>
      <c r="EA170" s="22"/>
    </row>
    <row r="171" spans="30:131" ht="15.95" customHeight="1">
      <c r="AD171" s="131">
        <v>170</v>
      </c>
      <c r="AE171" s="131"/>
      <c r="AF171" s="131"/>
      <c r="AG171" s="131"/>
      <c r="AP171" s="35" t="b">
        <f t="shared" si="26"/>
        <v>0</v>
      </c>
      <c r="AQ171" s="16">
        <f t="shared" si="27"/>
        <v>170</v>
      </c>
      <c r="AR171" s="16" t="b">
        <f t="shared" si="28"/>
        <v>0</v>
      </c>
      <c r="AS171" s="16" t="b">
        <f t="shared" si="29"/>
        <v>0</v>
      </c>
      <c r="AT171" s="16" t="b">
        <f t="shared" si="30"/>
        <v>0</v>
      </c>
      <c r="AU171" s="16" t="b">
        <f t="shared" si="31"/>
        <v>0</v>
      </c>
    </row>
    <row r="172" spans="30:131" ht="15.95" customHeight="1">
      <c r="AD172" s="131">
        <v>171</v>
      </c>
      <c r="AE172" s="131"/>
      <c r="AF172" s="131"/>
      <c r="AG172" s="131"/>
      <c r="AP172" s="35" t="b">
        <f t="shared" si="26"/>
        <v>0</v>
      </c>
      <c r="AQ172" s="16">
        <f t="shared" si="27"/>
        <v>171</v>
      </c>
      <c r="AR172" s="16" t="b">
        <f t="shared" si="28"/>
        <v>0</v>
      </c>
      <c r="AS172" s="16" t="b">
        <f t="shared" si="29"/>
        <v>0</v>
      </c>
      <c r="AT172" s="16" t="b">
        <f t="shared" si="30"/>
        <v>0</v>
      </c>
      <c r="AU172" s="16" t="b">
        <f t="shared" si="31"/>
        <v>0</v>
      </c>
    </row>
    <row r="173" spans="30:131" ht="15.95" customHeight="1">
      <c r="AD173" s="131">
        <v>172</v>
      </c>
      <c r="AE173" s="131"/>
      <c r="AF173" s="131"/>
      <c r="AG173" s="131"/>
      <c r="AP173" s="35" t="b">
        <f t="shared" si="26"/>
        <v>0</v>
      </c>
      <c r="AQ173" s="16">
        <f t="shared" si="27"/>
        <v>172</v>
      </c>
      <c r="AR173" s="16" t="b">
        <f t="shared" si="28"/>
        <v>0</v>
      </c>
      <c r="AS173" s="16" t="b">
        <f t="shared" si="29"/>
        <v>0</v>
      </c>
      <c r="AT173" s="16" t="b">
        <f t="shared" si="30"/>
        <v>0</v>
      </c>
      <c r="AU173" s="16" t="b">
        <f t="shared" si="31"/>
        <v>0</v>
      </c>
    </row>
    <row r="174" spans="30:131" ht="15.95" customHeight="1">
      <c r="AD174" s="131">
        <v>173</v>
      </c>
      <c r="AE174" s="131"/>
      <c r="AF174" s="131"/>
      <c r="AG174" s="131"/>
      <c r="AP174" s="35" t="b">
        <f t="shared" si="26"/>
        <v>0</v>
      </c>
      <c r="AQ174" s="16">
        <f t="shared" si="27"/>
        <v>173</v>
      </c>
      <c r="AR174" s="16" t="b">
        <f t="shared" si="28"/>
        <v>0</v>
      </c>
      <c r="AS174" s="16" t="b">
        <f t="shared" si="29"/>
        <v>0</v>
      </c>
      <c r="AT174" s="16" t="b">
        <f t="shared" si="30"/>
        <v>0</v>
      </c>
      <c r="AU174" s="16" t="b">
        <f t="shared" si="31"/>
        <v>0</v>
      </c>
    </row>
    <row r="175" spans="30:131" ht="15.95" customHeight="1">
      <c r="AD175" s="131">
        <v>174</v>
      </c>
      <c r="AE175" s="131"/>
      <c r="AF175" s="131"/>
      <c r="AG175" s="131"/>
      <c r="AP175" s="35" t="b">
        <f t="shared" si="26"/>
        <v>0</v>
      </c>
      <c r="AQ175" s="16">
        <f t="shared" si="27"/>
        <v>174</v>
      </c>
      <c r="AR175" s="16" t="b">
        <f t="shared" si="28"/>
        <v>0</v>
      </c>
      <c r="AS175" s="16" t="b">
        <f t="shared" si="29"/>
        <v>0</v>
      </c>
      <c r="AT175" s="16" t="b">
        <f t="shared" si="30"/>
        <v>0</v>
      </c>
      <c r="AU175" s="16" t="b">
        <f t="shared" si="31"/>
        <v>0</v>
      </c>
      <c r="DZ175" s="26"/>
      <c r="EA175" s="53"/>
    </row>
    <row r="176" spans="30:131" ht="15.95" customHeight="1">
      <c r="AD176" s="131">
        <v>175</v>
      </c>
      <c r="AE176" s="131"/>
      <c r="AF176" s="131"/>
      <c r="AG176" s="131"/>
      <c r="AP176" s="35" t="b">
        <f t="shared" si="26"/>
        <v>0</v>
      </c>
      <c r="AQ176" s="16">
        <f t="shared" si="27"/>
        <v>175</v>
      </c>
      <c r="AR176" s="16" t="b">
        <f t="shared" si="28"/>
        <v>0</v>
      </c>
      <c r="AS176" s="16" t="b">
        <f t="shared" si="29"/>
        <v>0</v>
      </c>
      <c r="AT176" s="16" t="b">
        <f t="shared" si="30"/>
        <v>0</v>
      </c>
      <c r="AU176" s="16" t="b">
        <f t="shared" si="31"/>
        <v>0</v>
      </c>
    </row>
    <row r="177" spans="30:131" ht="15.95" customHeight="1">
      <c r="AD177" s="131">
        <v>176</v>
      </c>
      <c r="AE177" s="131"/>
      <c r="AF177" s="131"/>
      <c r="AG177" s="131"/>
      <c r="AP177" s="35" t="b">
        <f t="shared" si="26"/>
        <v>0</v>
      </c>
      <c r="AQ177" s="16">
        <f t="shared" si="27"/>
        <v>176</v>
      </c>
      <c r="AR177" s="16" t="b">
        <f t="shared" si="28"/>
        <v>0</v>
      </c>
      <c r="AS177" s="16" t="b">
        <f t="shared" si="29"/>
        <v>0</v>
      </c>
      <c r="AT177" s="16" t="b">
        <f t="shared" si="30"/>
        <v>0</v>
      </c>
      <c r="AU177" s="16" t="b">
        <f t="shared" si="31"/>
        <v>0</v>
      </c>
    </row>
    <row r="178" spans="30:131" ht="15.95" customHeight="1">
      <c r="AD178" s="131">
        <v>177</v>
      </c>
      <c r="AE178" s="131"/>
      <c r="AF178" s="131"/>
      <c r="AG178" s="131"/>
      <c r="AP178" s="35" t="b">
        <f t="shared" si="26"/>
        <v>0</v>
      </c>
      <c r="AQ178" s="16">
        <f t="shared" si="27"/>
        <v>177</v>
      </c>
      <c r="AR178" s="16" t="b">
        <f t="shared" si="28"/>
        <v>0</v>
      </c>
      <c r="AS178" s="16" t="b">
        <f t="shared" si="29"/>
        <v>0</v>
      </c>
      <c r="AT178" s="16" t="b">
        <f t="shared" si="30"/>
        <v>0</v>
      </c>
      <c r="AU178" s="16" t="b">
        <f t="shared" si="31"/>
        <v>0</v>
      </c>
    </row>
    <row r="179" spans="30:131" ht="15.95" customHeight="1">
      <c r="AD179" s="131">
        <v>178</v>
      </c>
      <c r="AE179" s="131"/>
      <c r="AF179" s="131"/>
      <c r="AG179" s="131"/>
      <c r="AP179" s="35" t="b">
        <f t="shared" si="26"/>
        <v>0</v>
      </c>
      <c r="AQ179" s="16">
        <f t="shared" si="27"/>
        <v>178</v>
      </c>
      <c r="AR179" s="16" t="b">
        <f t="shared" si="28"/>
        <v>0</v>
      </c>
      <c r="AS179" s="16" t="b">
        <f t="shared" si="29"/>
        <v>0</v>
      </c>
      <c r="AT179" s="16" t="b">
        <f t="shared" si="30"/>
        <v>0</v>
      </c>
      <c r="AU179" s="16" t="b">
        <f t="shared" si="31"/>
        <v>0</v>
      </c>
    </row>
    <row r="180" spans="30:131" ht="15.95" customHeight="1">
      <c r="AD180" s="131">
        <v>179</v>
      </c>
      <c r="AE180" s="131"/>
      <c r="AF180" s="131"/>
      <c r="AG180" s="131"/>
      <c r="AP180" s="35" t="b">
        <f t="shared" si="26"/>
        <v>0</v>
      </c>
      <c r="AQ180" s="16">
        <f t="shared" si="27"/>
        <v>179</v>
      </c>
      <c r="AR180" s="16" t="b">
        <f t="shared" si="28"/>
        <v>0</v>
      </c>
      <c r="AS180" s="16" t="b">
        <f t="shared" si="29"/>
        <v>0</v>
      </c>
      <c r="AT180" s="16" t="b">
        <f t="shared" si="30"/>
        <v>0</v>
      </c>
      <c r="AU180" s="16" t="b">
        <f t="shared" si="31"/>
        <v>0</v>
      </c>
    </row>
    <row r="181" spans="30:131" ht="15.95" customHeight="1">
      <c r="AD181" s="131">
        <v>180</v>
      </c>
      <c r="AE181" s="131"/>
      <c r="AF181" s="131"/>
      <c r="AG181" s="131"/>
      <c r="AP181" s="35" t="b">
        <f t="shared" si="26"/>
        <v>0</v>
      </c>
      <c r="AQ181" s="16">
        <f t="shared" si="27"/>
        <v>180</v>
      </c>
      <c r="AR181" s="16" t="b">
        <f t="shared" si="28"/>
        <v>0</v>
      </c>
      <c r="AS181" s="16" t="b">
        <f t="shared" si="29"/>
        <v>0</v>
      </c>
      <c r="AT181" s="16" t="b">
        <f t="shared" si="30"/>
        <v>0</v>
      </c>
      <c r="AU181" s="16" t="b">
        <f t="shared" si="31"/>
        <v>0</v>
      </c>
    </row>
    <row r="182" spans="30:131" ht="15.95" customHeight="1">
      <c r="AD182" s="131">
        <v>181</v>
      </c>
      <c r="AE182" s="131"/>
      <c r="AF182" s="131"/>
      <c r="AG182" s="131"/>
      <c r="AP182" s="35" t="b">
        <f t="shared" si="26"/>
        <v>0</v>
      </c>
      <c r="AQ182" s="16">
        <f t="shared" si="27"/>
        <v>181</v>
      </c>
      <c r="AR182" s="16" t="b">
        <f t="shared" si="28"/>
        <v>0</v>
      </c>
      <c r="AS182" s="16" t="b">
        <f t="shared" si="29"/>
        <v>0</v>
      </c>
      <c r="AT182" s="16" t="b">
        <f t="shared" si="30"/>
        <v>0</v>
      </c>
      <c r="AU182" s="16" t="b">
        <f t="shared" si="31"/>
        <v>0</v>
      </c>
    </row>
    <row r="183" spans="30:131" ht="15.95" customHeight="1">
      <c r="AD183" s="131">
        <v>182</v>
      </c>
      <c r="AE183" s="131"/>
      <c r="AF183" s="131"/>
      <c r="AG183" s="131"/>
      <c r="AP183" s="35" t="b">
        <f t="shared" si="26"/>
        <v>0</v>
      </c>
      <c r="AQ183" s="16">
        <f t="shared" si="27"/>
        <v>182</v>
      </c>
      <c r="AR183" s="16" t="b">
        <f t="shared" si="28"/>
        <v>0</v>
      </c>
      <c r="AS183" s="16" t="b">
        <f t="shared" si="29"/>
        <v>0</v>
      </c>
      <c r="AT183" s="16" t="b">
        <f t="shared" si="30"/>
        <v>0</v>
      </c>
      <c r="AU183" s="16" t="b">
        <f t="shared" si="31"/>
        <v>0</v>
      </c>
    </row>
    <row r="184" spans="30:131" ht="15.95" customHeight="1">
      <c r="AD184" s="131">
        <v>183</v>
      </c>
      <c r="AE184" s="131"/>
      <c r="AF184" s="131"/>
      <c r="AG184" s="131"/>
      <c r="AP184" s="35" t="b">
        <f t="shared" si="26"/>
        <v>0</v>
      </c>
      <c r="AQ184" s="16">
        <f t="shared" si="27"/>
        <v>183</v>
      </c>
      <c r="AR184" s="16" t="b">
        <f t="shared" si="28"/>
        <v>0</v>
      </c>
      <c r="AS184" s="16" t="b">
        <f t="shared" si="29"/>
        <v>0</v>
      </c>
      <c r="AT184" s="16" t="b">
        <f t="shared" si="30"/>
        <v>0</v>
      </c>
      <c r="AU184" s="16" t="b">
        <f t="shared" si="31"/>
        <v>0</v>
      </c>
    </row>
    <row r="185" spans="30:131" ht="15.95" customHeight="1">
      <c r="AD185" s="131">
        <v>184</v>
      </c>
      <c r="AE185" s="131"/>
      <c r="AF185" s="131"/>
      <c r="AG185" s="131"/>
      <c r="AP185" s="35" t="b">
        <f t="shared" si="26"/>
        <v>0</v>
      </c>
      <c r="AQ185" s="16">
        <f t="shared" si="27"/>
        <v>184</v>
      </c>
      <c r="AR185" s="16" t="b">
        <f t="shared" si="28"/>
        <v>0</v>
      </c>
      <c r="AS185" s="16" t="b">
        <f t="shared" si="29"/>
        <v>0</v>
      </c>
      <c r="AT185" s="16" t="b">
        <f t="shared" si="30"/>
        <v>0</v>
      </c>
      <c r="AU185" s="16" t="b">
        <f t="shared" si="31"/>
        <v>0</v>
      </c>
    </row>
    <row r="186" spans="30:131" ht="15.95" customHeight="1">
      <c r="AD186" s="131">
        <v>185</v>
      </c>
      <c r="AE186" s="131"/>
      <c r="AF186" s="131"/>
      <c r="AG186" s="131"/>
      <c r="AP186" s="35" t="b">
        <f t="shared" si="26"/>
        <v>0</v>
      </c>
      <c r="AQ186" s="16">
        <f t="shared" si="27"/>
        <v>185</v>
      </c>
      <c r="AR186" s="16" t="b">
        <f t="shared" si="28"/>
        <v>0</v>
      </c>
      <c r="AS186" s="16" t="b">
        <f t="shared" si="29"/>
        <v>0</v>
      </c>
      <c r="AT186" s="16" t="b">
        <f t="shared" si="30"/>
        <v>0</v>
      </c>
      <c r="AU186" s="16" t="b">
        <f t="shared" si="31"/>
        <v>0</v>
      </c>
    </row>
    <row r="187" spans="30:131" ht="15.95" customHeight="1">
      <c r="AD187" s="131">
        <v>186</v>
      </c>
      <c r="AE187" s="131"/>
      <c r="AF187" s="131"/>
      <c r="AG187" s="131"/>
      <c r="AP187" s="35" t="b">
        <f t="shared" si="26"/>
        <v>0</v>
      </c>
      <c r="AQ187" s="16">
        <f t="shared" si="27"/>
        <v>186</v>
      </c>
      <c r="AR187" s="16" t="b">
        <f t="shared" si="28"/>
        <v>0</v>
      </c>
      <c r="AS187" s="16" t="b">
        <f t="shared" si="29"/>
        <v>0</v>
      </c>
      <c r="AT187" s="16" t="b">
        <f t="shared" si="30"/>
        <v>0</v>
      </c>
      <c r="AU187" s="16" t="b">
        <f t="shared" si="31"/>
        <v>0</v>
      </c>
      <c r="DZ187" s="26"/>
      <c r="EA187" s="201"/>
    </row>
    <row r="188" spans="30:131" ht="15.95" customHeight="1">
      <c r="AD188" s="131">
        <v>187</v>
      </c>
      <c r="AE188" s="131"/>
      <c r="AF188" s="131"/>
      <c r="AG188" s="131"/>
      <c r="AP188" s="35" t="b">
        <f t="shared" si="26"/>
        <v>0</v>
      </c>
      <c r="AQ188" s="16">
        <f t="shared" si="27"/>
        <v>187</v>
      </c>
      <c r="AR188" s="16" t="b">
        <f t="shared" si="28"/>
        <v>0</v>
      </c>
      <c r="AS188" s="16" t="b">
        <f t="shared" si="29"/>
        <v>0</v>
      </c>
      <c r="AT188" s="16" t="b">
        <f t="shared" si="30"/>
        <v>0</v>
      </c>
      <c r="AU188" s="16" t="b">
        <f t="shared" si="31"/>
        <v>0</v>
      </c>
    </row>
    <row r="189" spans="30:131" ht="15.95" customHeight="1">
      <c r="AD189" s="131">
        <v>188</v>
      </c>
      <c r="AE189" s="131"/>
      <c r="AF189" s="131"/>
      <c r="AG189" s="131"/>
      <c r="AP189" s="35" t="b">
        <f t="shared" si="26"/>
        <v>0</v>
      </c>
      <c r="AQ189" s="16">
        <f t="shared" si="27"/>
        <v>188</v>
      </c>
      <c r="AR189" s="16" t="b">
        <f t="shared" si="28"/>
        <v>0</v>
      </c>
      <c r="AS189" s="16" t="b">
        <f t="shared" si="29"/>
        <v>0</v>
      </c>
      <c r="AT189" s="16" t="b">
        <f t="shared" si="30"/>
        <v>0</v>
      </c>
      <c r="AU189" s="16" t="b">
        <f t="shared" si="31"/>
        <v>0</v>
      </c>
    </row>
    <row r="190" spans="30:131" ht="15.95" customHeight="1">
      <c r="AD190" s="131">
        <v>189</v>
      </c>
      <c r="AE190" s="131"/>
      <c r="AF190" s="131"/>
      <c r="AG190" s="131"/>
      <c r="AP190" s="35" t="b">
        <f t="shared" si="26"/>
        <v>0</v>
      </c>
      <c r="AQ190" s="16">
        <f t="shared" si="27"/>
        <v>189</v>
      </c>
      <c r="AR190" s="16" t="b">
        <f t="shared" si="28"/>
        <v>0</v>
      </c>
      <c r="AS190" s="16" t="b">
        <f t="shared" si="29"/>
        <v>0</v>
      </c>
      <c r="AT190" s="16" t="b">
        <f t="shared" si="30"/>
        <v>0</v>
      </c>
      <c r="AU190" s="16" t="b">
        <f t="shared" si="31"/>
        <v>0</v>
      </c>
    </row>
    <row r="191" spans="30:131" ht="15.95" customHeight="1">
      <c r="AD191" s="131">
        <v>190</v>
      </c>
      <c r="AE191" s="131"/>
      <c r="AF191" s="131"/>
      <c r="AG191" s="131"/>
      <c r="AP191" s="35" t="b">
        <f t="shared" si="26"/>
        <v>0</v>
      </c>
      <c r="AQ191" s="16">
        <f t="shared" si="27"/>
        <v>190</v>
      </c>
      <c r="AR191" s="16" t="b">
        <f t="shared" si="28"/>
        <v>0</v>
      </c>
      <c r="AS191" s="16" t="b">
        <f t="shared" si="29"/>
        <v>0</v>
      </c>
      <c r="AT191" s="16" t="b">
        <f t="shared" si="30"/>
        <v>0</v>
      </c>
      <c r="AU191" s="16" t="b">
        <f t="shared" si="31"/>
        <v>0</v>
      </c>
    </row>
    <row r="192" spans="30:131" ht="15.95" customHeight="1">
      <c r="AD192" s="131">
        <v>191</v>
      </c>
      <c r="AE192" s="131"/>
      <c r="AF192" s="131"/>
      <c r="AG192" s="131"/>
      <c r="AP192" s="35" t="b">
        <f t="shared" si="26"/>
        <v>0</v>
      </c>
      <c r="AQ192" s="16">
        <f t="shared" si="27"/>
        <v>191</v>
      </c>
      <c r="AR192" s="16" t="b">
        <f t="shared" si="28"/>
        <v>0</v>
      </c>
      <c r="AS192" s="16" t="b">
        <f t="shared" si="29"/>
        <v>0</v>
      </c>
      <c r="AT192" s="16" t="b">
        <f t="shared" si="30"/>
        <v>0</v>
      </c>
      <c r="AU192" s="16" t="b">
        <f t="shared" si="31"/>
        <v>0</v>
      </c>
    </row>
    <row r="193" spans="30:47" ht="15.95" customHeight="1">
      <c r="AD193" s="131">
        <v>192</v>
      </c>
      <c r="AE193" s="131"/>
      <c r="AF193" s="131"/>
      <c r="AG193" s="131"/>
      <c r="AP193" s="35" t="b">
        <f t="shared" si="26"/>
        <v>0</v>
      </c>
      <c r="AQ193" s="16">
        <f t="shared" si="27"/>
        <v>192</v>
      </c>
      <c r="AR193" s="16" t="b">
        <f t="shared" si="28"/>
        <v>0</v>
      </c>
      <c r="AS193" s="16" t="b">
        <f t="shared" si="29"/>
        <v>0</v>
      </c>
      <c r="AT193" s="16" t="b">
        <f t="shared" si="30"/>
        <v>0</v>
      </c>
      <c r="AU193" s="16" t="b">
        <f t="shared" si="31"/>
        <v>0</v>
      </c>
    </row>
    <row r="194" spans="30:47" ht="15.95" customHeight="1">
      <c r="AD194" s="131">
        <v>193</v>
      </c>
      <c r="AE194" s="131"/>
      <c r="AF194" s="131"/>
      <c r="AG194" s="131"/>
      <c r="AP194" s="35" t="b">
        <f t="shared" ref="AP194:AP235" si="32">IF(BP$37&lt;=AE194,AD194)</f>
        <v>0</v>
      </c>
      <c r="AQ194" s="16">
        <f t="shared" ref="AQ194:AQ235" si="33">IF(C$9&gt;=AO194,AD194)</f>
        <v>193</v>
      </c>
      <c r="AR194" s="16" t="b">
        <f t="shared" ref="AR194:AR235" si="34">IF(C$10=AL194,AD194)</f>
        <v>0</v>
      </c>
      <c r="AS194" s="16" t="b">
        <f t="shared" ref="AS194:AS235" si="35">IF(C$11&lt;=AM194,AD194)</f>
        <v>0</v>
      </c>
      <c r="AT194" s="16" t="b">
        <f t="shared" ref="AT194:AT235" si="36">IF(AG194=BL$10,AD194)</f>
        <v>0</v>
      </c>
      <c r="AU194" s="16" t="b">
        <f t="shared" ref="AU194:AU235" si="37">IF(AP194=FALSE,FALSE,IF(AQ194=FALSE,FALSE,IF(AR194=FALSE,FALSE,IF(AS194=FALSE,FALSE,IF(AT194=FALSE,FALSE,AD194)))))</f>
        <v>0</v>
      </c>
    </row>
    <row r="195" spans="30:47" ht="15.95" customHeight="1">
      <c r="AD195" s="131">
        <v>194</v>
      </c>
      <c r="AE195" s="131"/>
      <c r="AF195" s="131"/>
      <c r="AG195" s="131"/>
      <c r="AP195" s="35" t="b">
        <f t="shared" si="32"/>
        <v>0</v>
      </c>
      <c r="AQ195" s="16">
        <f t="shared" si="33"/>
        <v>194</v>
      </c>
      <c r="AR195" s="16" t="b">
        <f t="shared" si="34"/>
        <v>0</v>
      </c>
      <c r="AS195" s="16" t="b">
        <f t="shared" si="35"/>
        <v>0</v>
      </c>
      <c r="AT195" s="16" t="b">
        <f t="shared" si="36"/>
        <v>0</v>
      </c>
      <c r="AU195" s="16" t="b">
        <f t="shared" si="37"/>
        <v>0</v>
      </c>
    </row>
    <row r="196" spans="30:47" ht="15.95" customHeight="1">
      <c r="AD196" s="131">
        <v>195</v>
      </c>
      <c r="AE196" s="131"/>
      <c r="AF196" s="131"/>
      <c r="AG196" s="131"/>
      <c r="AP196" s="35" t="b">
        <f t="shared" si="32"/>
        <v>0</v>
      </c>
      <c r="AQ196" s="16">
        <f t="shared" si="33"/>
        <v>195</v>
      </c>
      <c r="AR196" s="16" t="b">
        <f t="shared" si="34"/>
        <v>0</v>
      </c>
      <c r="AS196" s="16" t="b">
        <f t="shared" si="35"/>
        <v>0</v>
      </c>
      <c r="AT196" s="16" t="b">
        <f t="shared" si="36"/>
        <v>0</v>
      </c>
      <c r="AU196" s="16" t="b">
        <f t="shared" si="37"/>
        <v>0</v>
      </c>
    </row>
    <row r="197" spans="30:47" ht="15.95" customHeight="1">
      <c r="AD197" s="131">
        <v>196</v>
      </c>
      <c r="AE197" s="131"/>
      <c r="AF197" s="131"/>
      <c r="AG197" s="131"/>
      <c r="AP197" s="35" t="b">
        <f t="shared" si="32"/>
        <v>0</v>
      </c>
      <c r="AQ197" s="16">
        <f t="shared" si="33"/>
        <v>196</v>
      </c>
      <c r="AR197" s="16" t="b">
        <f t="shared" si="34"/>
        <v>0</v>
      </c>
      <c r="AS197" s="16" t="b">
        <f t="shared" si="35"/>
        <v>0</v>
      </c>
      <c r="AT197" s="16" t="b">
        <f t="shared" si="36"/>
        <v>0</v>
      </c>
      <c r="AU197" s="16" t="b">
        <f t="shared" si="37"/>
        <v>0</v>
      </c>
    </row>
    <row r="198" spans="30:47" ht="15.95" customHeight="1">
      <c r="AD198" s="131">
        <v>197</v>
      </c>
      <c r="AE198" s="131"/>
      <c r="AF198" s="131"/>
      <c r="AG198" s="131"/>
      <c r="AP198" s="35" t="b">
        <f t="shared" si="32"/>
        <v>0</v>
      </c>
      <c r="AQ198" s="16">
        <f t="shared" si="33"/>
        <v>197</v>
      </c>
      <c r="AR198" s="16" t="b">
        <f t="shared" si="34"/>
        <v>0</v>
      </c>
      <c r="AS198" s="16" t="b">
        <f t="shared" si="35"/>
        <v>0</v>
      </c>
      <c r="AT198" s="16" t="b">
        <f t="shared" si="36"/>
        <v>0</v>
      </c>
      <c r="AU198" s="16" t="b">
        <f t="shared" si="37"/>
        <v>0</v>
      </c>
    </row>
    <row r="199" spans="30:47" ht="15.95" customHeight="1">
      <c r="AD199" s="131">
        <v>198</v>
      </c>
      <c r="AE199" s="131"/>
      <c r="AF199" s="131"/>
      <c r="AG199" s="131"/>
      <c r="AP199" s="35" t="b">
        <f t="shared" si="32"/>
        <v>0</v>
      </c>
      <c r="AQ199" s="16">
        <f t="shared" si="33"/>
        <v>198</v>
      </c>
      <c r="AR199" s="16" t="b">
        <f t="shared" si="34"/>
        <v>0</v>
      </c>
      <c r="AS199" s="16" t="b">
        <f t="shared" si="35"/>
        <v>0</v>
      </c>
      <c r="AT199" s="16" t="b">
        <f t="shared" si="36"/>
        <v>0</v>
      </c>
      <c r="AU199" s="16" t="b">
        <f t="shared" si="37"/>
        <v>0</v>
      </c>
    </row>
    <row r="200" spans="30:47" ht="15.95" customHeight="1">
      <c r="AD200" s="131">
        <v>199</v>
      </c>
      <c r="AE200" s="131"/>
      <c r="AF200" s="131"/>
      <c r="AG200" s="131"/>
      <c r="AP200" s="35" t="b">
        <f t="shared" si="32"/>
        <v>0</v>
      </c>
      <c r="AQ200" s="16">
        <f t="shared" si="33"/>
        <v>199</v>
      </c>
      <c r="AR200" s="16" t="b">
        <f t="shared" si="34"/>
        <v>0</v>
      </c>
      <c r="AS200" s="16" t="b">
        <f t="shared" si="35"/>
        <v>0</v>
      </c>
      <c r="AT200" s="16" t="b">
        <f t="shared" si="36"/>
        <v>0</v>
      </c>
      <c r="AU200" s="16" t="b">
        <f t="shared" si="37"/>
        <v>0</v>
      </c>
    </row>
    <row r="201" spans="30:47" ht="15.95" customHeight="1">
      <c r="AD201" s="131">
        <v>200</v>
      </c>
      <c r="AE201" s="131"/>
      <c r="AF201" s="131"/>
      <c r="AG201" s="131"/>
      <c r="AP201" s="35" t="b">
        <f t="shared" si="32"/>
        <v>0</v>
      </c>
      <c r="AQ201" s="16">
        <f t="shared" si="33"/>
        <v>200</v>
      </c>
      <c r="AR201" s="16" t="b">
        <f t="shared" si="34"/>
        <v>0</v>
      </c>
      <c r="AS201" s="16" t="b">
        <f t="shared" si="35"/>
        <v>0</v>
      </c>
      <c r="AT201" s="16" t="b">
        <f t="shared" si="36"/>
        <v>0</v>
      </c>
      <c r="AU201" s="16" t="b">
        <f t="shared" si="37"/>
        <v>0</v>
      </c>
    </row>
    <row r="202" spans="30:47" ht="15.95" customHeight="1">
      <c r="AD202" s="131">
        <v>201</v>
      </c>
      <c r="AE202" s="131"/>
      <c r="AF202" s="131"/>
      <c r="AG202" s="131"/>
      <c r="AP202" s="35" t="b">
        <f t="shared" si="32"/>
        <v>0</v>
      </c>
      <c r="AQ202" s="16">
        <f t="shared" si="33"/>
        <v>201</v>
      </c>
      <c r="AR202" s="16" t="b">
        <f t="shared" si="34"/>
        <v>0</v>
      </c>
      <c r="AS202" s="16" t="b">
        <f t="shared" si="35"/>
        <v>0</v>
      </c>
      <c r="AT202" s="16" t="b">
        <f t="shared" si="36"/>
        <v>0</v>
      </c>
      <c r="AU202" s="16" t="b">
        <f t="shared" si="37"/>
        <v>0</v>
      </c>
    </row>
    <row r="203" spans="30:47" ht="15.95" customHeight="1">
      <c r="AD203" s="131">
        <v>202</v>
      </c>
      <c r="AE203" s="131"/>
      <c r="AF203" s="131"/>
      <c r="AG203" s="131"/>
      <c r="AP203" s="35" t="b">
        <f t="shared" si="32"/>
        <v>0</v>
      </c>
      <c r="AQ203" s="16">
        <f t="shared" si="33"/>
        <v>202</v>
      </c>
      <c r="AR203" s="16" t="b">
        <f t="shared" si="34"/>
        <v>0</v>
      </c>
      <c r="AS203" s="16" t="b">
        <f t="shared" si="35"/>
        <v>0</v>
      </c>
      <c r="AT203" s="16" t="b">
        <f t="shared" si="36"/>
        <v>0</v>
      </c>
      <c r="AU203" s="16" t="b">
        <f t="shared" si="37"/>
        <v>0</v>
      </c>
    </row>
    <row r="204" spans="30:47" ht="15.95" customHeight="1">
      <c r="AD204" s="131">
        <v>203</v>
      </c>
      <c r="AE204" s="131"/>
      <c r="AF204" s="131"/>
      <c r="AG204" s="131"/>
      <c r="AP204" s="35" t="b">
        <f t="shared" si="32"/>
        <v>0</v>
      </c>
      <c r="AQ204" s="16">
        <f t="shared" si="33"/>
        <v>203</v>
      </c>
      <c r="AR204" s="16" t="b">
        <f t="shared" si="34"/>
        <v>0</v>
      </c>
      <c r="AS204" s="16" t="b">
        <f t="shared" si="35"/>
        <v>0</v>
      </c>
      <c r="AT204" s="16" t="b">
        <f t="shared" si="36"/>
        <v>0</v>
      </c>
      <c r="AU204" s="16" t="b">
        <f t="shared" si="37"/>
        <v>0</v>
      </c>
    </row>
    <row r="205" spans="30:47" ht="15.95" customHeight="1">
      <c r="AD205" s="131">
        <v>204</v>
      </c>
      <c r="AE205" s="131"/>
      <c r="AF205" s="131"/>
      <c r="AG205" s="131"/>
      <c r="AP205" s="35" t="b">
        <f t="shared" si="32"/>
        <v>0</v>
      </c>
      <c r="AQ205" s="16">
        <f t="shared" si="33"/>
        <v>204</v>
      </c>
      <c r="AR205" s="16" t="b">
        <f t="shared" si="34"/>
        <v>0</v>
      </c>
      <c r="AS205" s="16" t="b">
        <f t="shared" si="35"/>
        <v>0</v>
      </c>
      <c r="AT205" s="16" t="b">
        <f t="shared" si="36"/>
        <v>0</v>
      </c>
      <c r="AU205" s="16" t="b">
        <f t="shared" si="37"/>
        <v>0</v>
      </c>
    </row>
    <row r="206" spans="30:47" ht="15.95" customHeight="1">
      <c r="AD206" s="131">
        <v>205</v>
      </c>
      <c r="AE206" s="131"/>
      <c r="AF206" s="131"/>
      <c r="AG206" s="131"/>
      <c r="AP206" s="35" t="b">
        <f t="shared" si="32"/>
        <v>0</v>
      </c>
      <c r="AQ206" s="16">
        <f t="shared" si="33"/>
        <v>205</v>
      </c>
      <c r="AR206" s="16" t="b">
        <f t="shared" si="34"/>
        <v>0</v>
      </c>
      <c r="AS206" s="16" t="b">
        <f t="shared" si="35"/>
        <v>0</v>
      </c>
      <c r="AT206" s="16" t="b">
        <f t="shared" si="36"/>
        <v>0</v>
      </c>
      <c r="AU206" s="16" t="b">
        <f t="shared" si="37"/>
        <v>0</v>
      </c>
    </row>
    <row r="207" spans="30:47" ht="15.95" customHeight="1">
      <c r="AD207" s="131">
        <v>206</v>
      </c>
      <c r="AE207" s="131"/>
      <c r="AF207" s="131"/>
      <c r="AG207" s="131"/>
      <c r="AP207" s="35" t="b">
        <f t="shared" si="32"/>
        <v>0</v>
      </c>
      <c r="AQ207" s="16">
        <f t="shared" si="33"/>
        <v>206</v>
      </c>
      <c r="AR207" s="16" t="b">
        <f t="shared" si="34"/>
        <v>0</v>
      </c>
      <c r="AS207" s="16" t="b">
        <f t="shared" si="35"/>
        <v>0</v>
      </c>
      <c r="AT207" s="16" t="b">
        <f t="shared" si="36"/>
        <v>0</v>
      </c>
      <c r="AU207" s="16" t="b">
        <f t="shared" si="37"/>
        <v>0</v>
      </c>
    </row>
    <row r="208" spans="30:47" ht="15.95" customHeight="1">
      <c r="AD208" s="131">
        <v>207</v>
      </c>
      <c r="AE208" s="131"/>
      <c r="AF208" s="131"/>
      <c r="AG208" s="131"/>
      <c r="AP208" s="35" t="b">
        <f t="shared" si="32"/>
        <v>0</v>
      </c>
      <c r="AQ208" s="16">
        <f t="shared" si="33"/>
        <v>207</v>
      </c>
      <c r="AR208" s="16" t="b">
        <f t="shared" si="34"/>
        <v>0</v>
      </c>
      <c r="AS208" s="16" t="b">
        <f t="shared" si="35"/>
        <v>0</v>
      </c>
      <c r="AT208" s="16" t="b">
        <f t="shared" si="36"/>
        <v>0</v>
      </c>
      <c r="AU208" s="16" t="b">
        <f t="shared" si="37"/>
        <v>0</v>
      </c>
    </row>
    <row r="209" spans="30:47" ht="15.95" customHeight="1">
      <c r="AD209" s="131">
        <v>208</v>
      </c>
      <c r="AE209" s="131"/>
      <c r="AF209" s="131"/>
      <c r="AG209" s="131"/>
      <c r="AP209" s="35" t="b">
        <f t="shared" si="32"/>
        <v>0</v>
      </c>
      <c r="AQ209" s="16">
        <f t="shared" si="33"/>
        <v>208</v>
      </c>
      <c r="AR209" s="16" t="b">
        <f t="shared" si="34"/>
        <v>0</v>
      </c>
      <c r="AS209" s="16" t="b">
        <f t="shared" si="35"/>
        <v>0</v>
      </c>
      <c r="AT209" s="16" t="b">
        <f t="shared" si="36"/>
        <v>0</v>
      </c>
      <c r="AU209" s="16" t="b">
        <f t="shared" si="37"/>
        <v>0</v>
      </c>
    </row>
    <row r="210" spans="30:47" ht="15.95" customHeight="1">
      <c r="AD210" s="131">
        <v>209</v>
      </c>
      <c r="AE210" s="131"/>
      <c r="AF210" s="131"/>
      <c r="AG210" s="131"/>
      <c r="AP210" s="35" t="b">
        <f t="shared" si="32"/>
        <v>0</v>
      </c>
      <c r="AQ210" s="16">
        <f t="shared" si="33"/>
        <v>209</v>
      </c>
      <c r="AR210" s="16" t="b">
        <f t="shared" si="34"/>
        <v>0</v>
      </c>
      <c r="AS210" s="16" t="b">
        <f t="shared" si="35"/>
        <v>0</v>
      </c>
      <c r="AT210" s="16" t="b">
        <f t="shared" si="36"/>
        <v>0</v>
      </c>
      <c r="AU210" s="16" t="b">
        <f t="shared" si="37"/>
        <v>0</v>
      </c>
    </row>
    <row r="211" spans="30:47" ht="15.95" customHeight="1">
      <c r="AD211" s="131">
        <v>210</v>
      </c>
      <c r="AE211" s="131"/>
      <c r="AF211" s="131"/>
      <c r="AG211" s="131"/>
      <c r="AP211" s="35" t="b">
        <f t="shared" si="32"/>
        <v>0</v>
      </c>
      <c r="AQ211" s="16">
        <f t="shared" si="33"/>
        <v>210</v>
      </c>
      <c r="AR211" s="16" t="b">
        <f t="shared" si="34"/>
        <v>0</v>
      </c>
      <c r="AS211" s="16" t="b">
        <f t="shared" si="35"/>
        <v>0</v>
      </c>
      <c r="AT211" s="16" t="b">
        <f t="shared" si="36"/>
        <v>0</v>
      </c>
      <c r="AU211" s="16" t="b">
        <f t="shared" si="37"/>
        <v>0</v>
      </c>
    </row>
    <row r="212" spans="30:47" ht="15.95" customHeight="1">
      <c r="AD212" s="131">
        <v>211</v>
      </c>
      <c r="AE212" s="131"/>
      <c r="AF212" s="131"/>
      <c r="AG212" s="131"/>
      <c r="AP212" s="35" t="b">
        <f t="shared" si="32"/>
        <v>0</v>
      </c>
      <c r="AQ212" s="16">
        <f t="shared" si="33"/>
        <v>211</v>
      </c>
      <c r="AR212" s="16" t="b">
        <f t="shared" si="34"/>
        <v>0</v>
      </c>
      <c r="AS212" s="16" t="b">
        <f t="shared" si="35"/>
        <v>0</v>
      </c>
      <c r="AT212" s="16" t="b">
        <f t="shared" si="36"/>
        <v>0</v>
      </c>
      <c r="AU212" s="16" t="b">
        <f t="shared" si="37"/>
        <v>0</v>
      </c>
    </row>
    <row r="213" spans="30:47" ht="15.95" customHeight="1">
      <c r="AD213" s="131">
        <v>212</v>
      </c>
      <c r="AE213" s="131"/>
      <c r="AF213" s="131"/>
      <c r="AG213" s="131"/>
      <c r="AP213" s="35" t="b">
        <f t="shared" si="32"/>
        <v>0</v>
      </c>
      <c r="AQ213" s="16">
        <f t="shared" si="33"/>
        <v>212</v>
      </c>
      <c r="AR213" s="16" t="b">
        <f t="shared" si="34"/>
        <v>0</v>
      </c>
      <c r="AS213" s="16" t="b">
        <f t="shared" si="35"/>
        <v>0</v>
      </c>
      <c r="AT213" s="16" t="b">
        <f t="shared" si="36"/>
        <v>0</v>
      </c>
      <c r="AU213" s="16" t="b">
        <f t="shared" si="37"/>
        <v>0</v>
      </c>
    </row>
    <row r="214" spans="30:47" ht="15.95" customHeight="1">
      <c r="AD214" s="131">
        <v>213</v>
      </c>
      <c r="AE214" s="131"/>
      <c r="AF214" s="131"/>
      <c r="AG214" s="131"/>
      <c r="AP214" s="35" t="b">
        <f t="shared" si="32"/>
        <v>0</v>
      </c>
      <c r="AQ214" s="16">
        <f t="shared" si="33"/>
        <v>213</v>
      </c>
      <c r="AR214" s="16" t="b">
        <f t="shared" si="34"/>
        <v>0</v>
      </c>
      <c r="AS214" s="16" t="b">
        <f t="shared" si="35"/>
        <v>0</v>
      </c>
      <c r="AT214" s="16" t="b">
        <f t="shared" si="36"/>
        <v>0</v>
      </c>
      <c r="AU214" s="16" t="b">
        <f t="shared" si="37"/>
        <v>0</v>
      </c>
    </row>
    <row r="215" spans="30:47" ht="15.95" customHeight="1">
      <c r="AD215" s="131">
        <v>214</v>
      </c>
      <c r="AE215" s="131"/>
      <c r="AF215" s="131"/>
      <c r="AG215" s="131"/>
      <c r="AP215" s="35" t="b">
        <f t="shared" si="32"/>
        <v>0</v>
      </c>
      <c r="AQ215" s="16">
        <f t="shared" si="33"/>
        <v>214</v>
      </c>
      <c r="AR215" s="16" t="b">
        <f t="shared" si="34"/>
        <v>0</v>
      </c>
      <c r="AS215" s="16" t="b">
        <f t="shared" si="35"/>
        <v>0</v>
      </c>
      <c r="AT215" s="16" t="b">
        <f t="shared" si="36"/>
        <v>0</v>
      </c>
      <c r="AU215" s="16" t="b">
        <f t="shared" si="37"/>
        <v>0</v>
      </c>
    </row>
    <row r="216" spans="30:47" ht="15.95" customHeight="1">
      <c r="AD216" s="131">
        <v>215</v>
      </c>
      <c r="AE216" s="131"/>
      <c r="AF216" s="131"/>
      <c r="AG216" s="131"/>
      <c r="AP216" s="35" t="b">
        <f t="shared" si="32"/>
        <v>0</v>
      </c>
      <c r="AQ216" s="16">
        <f t="shared" si="33"/>
        <v>215</v>
      </c>
      <c r="AR216" s="16" t="b">
        <f t="shared" si="34"/>
        <v>0</v>
      </c>
      <c r="AS216" s="16" t="b">
        <f t="shared" si="35"/>
        <v>0</v>
      </c>
      <c r="AT216" s="16" t="b">
        <f t="shared" si="36"/>
        <v>0</v>
      </c>
      <c r="AU216" s="16" t="b">
        <f t="shared" si="37"/>
        <v>0</v>
      </c>
    </row>
    <row r="217" spans="30:47" ht="15.95" customHeight="1">
      <c r="AD217" s="131">
        <v>216</v>
      </c>
      <c r="AE217" s="131"/>
      <c r="AF217" s="131"/>
      <c r="AG217" s="131"/>
      <c r="AP217" s="35" t="b">
        <f t="shared" si="32"/>
        <v>0</v>
      </c>
      <c r="AQ217" s="16">
        <f t="shared" si="33"/>
        <v>216</v>
      </c>
      <c r="AR217" s="16" t="b">
        <f t="shared" si="34"/>
        <v>0</v>
      </c>
      <c r="AS217" s="16" t="b">
        <f t="shared" si="35"/>
        <v>0</v>
      </c>
      <c r="AT217" s="16" t="b">
        <f t="shared" si="36"/>
        <v>0</v>
      </c>
      <c r="AU217" s="16" t="b">
        <f t="shared" si="37"/>
        <v>0</v>
      </c>
    </row>
    <row r="218" spans="30:47" ht="15.95" customHeight="1">
      <c r="AD218" s="131">
        <v>217</v>
      </c>
      <c r="AE218" s="131"/>
      <c r="AF218" s="131"/>
      <c r="AG218" s="131"/>
      <c r="AP218" s="35" t="b">
        <f t="shared" si="32"/>
        <v>0</v>
      </c>
      <c r="AQ218" s="16">
        <f t="shared" si="33"/>
        <v>217</v>
      </c>
      <c r="AR218" s="16" t="b">
        <f t="shared" si="34"/>
        <v>0</v>
      </c>
      <c r="AS218" s="16" t="b">
        <f t="shared" si="35"/>
        <v>0</v>
      </c>
      <c r="AT218" s="16" t="b">
        <f t="shared" si="36"/>
        <v>0</v>
      </c>
      <c r="AU218" s="16" t="b">
        <f t="shared" si="37"/>
        <v>0</v>
      </c>
    </row>
    <row r="219" spans="30:47" ht="15.95" customHeight="1">
      <c r="AD219" s="131">
        <v>218</v>
      </c>
      <c r="AE219" s="131"/>
      <c r="AF219" s="131"/>
      <c r="AG219" s="131"/>
      <c r="AP219" s="35" t="b">
        <f t="shared" si="32"/>
        <v>0</v>
      </c>
      <c r="AQ219" s="16">
        <f t="shared" si="33"/>
        <v>218</v>
      </c>
      <c r="AR219" s="16" t="b">
        <f t="shared" si="34"/>
        <v>0</v>
      </c>
      <c r="AS219" s="16" t="b">
        <f t="shared" si="35"/>
        <v>0</v>
      </c>
      <c r="AT219" s="16" t="b">
        <f t="shared" si="36"/>
        <v>0</v>
      </c>
      <c r="AU219" s="16" t="b">
        <f t="shared" si="37"/>
        <v>0</v>
      </c>
    </row>
    <row r="220" spans="30:47" ht="15.95" customHeight="1">
      <c r="AD220" s="131">
        <v>219</v>
      </c>
      <c r="AE220" s="131"/>
      <c r="AF220" s="131"/>
      <c r="AG220" s="131"/>
      <c r="AP220" s="35" t="b">
        <f t="shared" si="32"/>
        <v>0</v>
      </c>
      <c r="AQ220" s="16">
        <f t="shared" si="33"/>
        <v>219</v>
      </c>
      <c r="AR220" s="16" t="b">
        <f t="shared" si="34"/>
        <v>0</v>
      </c>
      <c r="AS220" s="16" t="b">
        <f t="shared" si="35"/>
        <v>0</v>
      </c>
      <c r="AT220" s="16" t="b">
        <f t="shared" si="36"/>
        <v>0</v>
      </c>
      <c r="AU220" s="16" t="b">
        <f t="shared" si="37"/>
        <v>0</v>
      </c>
    </row>
    <row r="221" spans="30:47" ht="15.95" customHeight="1">
      <c r="AD221" s="131">
        <v>220</v>
      </c>
      <c r="AE221" s="131"/>
      <c r="AF221" s="131"/>
      <c r="AG221" s="131"/>
      <c r="AP221" s="35" t="b">
        <f t="shared" si="32"/>
        <v>0</v>
      </c>
      <c r="AQ221" s="16">
        <f t="shared" si="33"/>
        <v>220</v>
      </c>
      <c r="AR221" s="16" t="b">
        <f t="shared" si="34"/>
        <v>0</v>
      </c>
      <c r="AS221" s="16" t="b">
        <f t="shared" si="35"/>
        <v>0</v>
      </c>
      <c r="AT221" s="16" t="b">
        <f t="shared" si="36"/>
        <v>0</v>
      </c>
      <c r="AU221" s="16" t="b">
        <f t="shared" si="37"/>
        <v>0</v>
      </c>
    </row>
    <row r="222" spans="30:47" ht="15.95" customHeight="1">
      <c r="AD222" s="131">
        <v>221</v>
      </c>
      <c r="AE222" s="131"/>
      <c r="AF222" s="131"/>
      <c r="AG222" s="131"/>
      <c r="AP222" s="35" t="b">
        <f t="shared" si="32"/>
        <v>0</v>
      </c>
      <c r="AQ222" s="16">
        <f t="shared" si="33"/>
        <v>221</v>
      </c>
      <c r="AR222" s="16" t="b">
        <f t="shared" si="34"/>
        <v>0</v>
      </c>
      <c r="AS222" s="16" t="b">
        <f t="shared" si="35"/>
        <v>0</v>
      </c>
      <c r="AT222" s="16" t="b">
        <f t="shared" si="36"/>
        <v>0</v>
      </c>
      <c r="AU222" s="16" t="b">
        <f t="shared" si="37"/>
        <v>0</v>
      </c>
    </row>
    <row r="223" spans="30:47" ht="15.95" customHeight="1">
      <c r="AD223" s="131">
        <v>222</v>
      </c>
      <c r="AE223" s="131"/>
      <c r="AF223" s="131"/>
      <c r="AG223" s="131"/>
      <c r="AP223" s="35" t="b">
        <f t="shared" si="32"/>
        <v>0</v>
      </c>
      <c r="AQ223" s="16">
        <f t="shared" si="33"/>
        <v>222</v>
      </c>
      <c r="AR223" s="16" t="b">
        <f t="shared" si="34"/>
        <v>0</v>
      </c>
      <c r="AS223" s="16" t="b">
        <f t="shared" si="35"/>
        <v>0</v>
      </c>
      <c r="AT223" s="16" t="b">
        <f t="shared" si="36"/>
        <v>0</v>
      </c>
      <c r="AU223" s="16" t="b">
        <f t="shared" si="37"/>
        <v>0</v>
      </c>
    </row>
    <row r="224" spans="30:47" ht="15.95" customHeight="1">
      <c r="AD224" s="131">
        <v>223</v>
      </c>
      <c r="AE224" s="131"/>
      <c r="AF224" s="131"/>
      <c r="AG224" s="131"/>
      <c r="AP224" s="35" t="b">
        <f t="shared" si="32"/>
        <v>0</v>
      </c>
      <c r="AQ224" s="16">
        <f t="shared" si="33"/>
        <v>223</v>
      </c>
      <c r="AR224" s="16" t="b">
        <f t="shared" si="34"/>
        <v>0</v>
      </c>
      <c r="AS224" s="16" t="b">
        <f t="shared" si="35"/>
        <v>0</v>
      </c>
      <c r="AT224" s="16" t="b">
        <f t="shared" si="36"/>
        <v>0</v>
      </c>
      <c r="AU224" s="16" t="b">
        <f t="shared" si="37"/>
        <v>0</v>
      </c>
    </row>
    <row r="225" spans="30:47" ht="15.95" customHeight="1">
      <c r="AD225" s="131">
        <v>224</v>
      </c>
      <c r="AE225" s="131"/>
      <c r="AF225" s="131"/>
      <c r="AG225" s="131"/>
      <c r="AP225" s="35" t="b">
        <f t="shared" si="32"/>
        <v>0</v>
      </c>
      <c r="AQ225" s="16">
        <f t="shared" si="33"/>
        <v>224</v>
      </c>
      <c r="AR225" s="16" t="b">
        <f t="shared" si="34"/>
        <v>0</v>
      </c>
      <c r="AS225" s="16" t="b">
        <f t="shared" si="35"/>
        <v>0</v>
      </c>
      <c r="AT225" s="16" t="b">
        <f t="shared" si="36"/>
        <v>0</v>
      </c>
      <c r="AU225" s="16" t="b">
        <f t="shared" si="37"/>
        <v>0</v>
      </c>
    </row>
    <row r="226" spans="30:47" ht="15.95" customHeight="1">
      <c r="AD226" s="131">
        <v>225</v>
      </c>
      <c r="AE226" s="131"/>
      <c r="AF226" s="131"/>
      <c r="AG226" s="131"/>
      <c r="AP226" s="35" t="b">
        <f t="shared" si="32"/>
        <v>0</v>
      </c>
      <c r="AQ226" s="16">
        <f t="shared" si="33"/>
        <v>225</v>
      </c>
      <c r="AR226" s="16" t="b">
        <f t="shared" si="34"/>
        <v>0</v>
      </c>
      <c r="AS226" s="16" t="b">
        <f t="shared" si="35"/>
        <v>0</v>
      </c>
      <c r="AT226" s="16" t="b">
        <f t="shared" si="36"/>
        <v>0</v>
      </c>
      <c r="AU226" s="16" t="b">
        <f t="shared" si="37"/>
        <v>0</v>
      </c>
    </row>
    <row r="227" spans="30:47" ht="15.95" customHeight="1">
      <c r="AD227" s="131">
        <v>226</v>
      </c>
      <c r="AE227" s="131"/>
      <c r="AF227" s="131"/>
      <c r="AG227" s="131"/>
      <c r="AP227" s="35" t="b">
        <f t="shared" si="32"/>
        <v>0</v>
      </c>
      <c r="AQ227" s="16">
        <f t="shared" si="33"/>
        <v>226</v>
      </c>
      <c r="AR227" s="16" t="b">
        <f t="shared" si="34"/>
        <v>0</v>
      </c>
      <c r="AS227" s="16" t="b">
        <f t="shared" si="35"/>
        <v>0</v>
      </c>
      <c r="AT227" s="16" t="b">
        <f t="shared" si="36"/>
        <v>0</v>
      </c>
      <c r="AU227" s="16" t="b">
        <f t="shared" si="37"/>
        <v>0</v>
      </c>
    </row>
    <row r="228" spans="30:47" ht="15.95" customHeight="1">
      <c r="AD228" s="131">
        <v>227</v>
      </c>
      <c r="AE228" s="131"/>
      <c r="AF228" s="131"/>
      <c r="AG228" s="131"/>
      <c r="AP228" s="35" t="b">
        <f t="shared" si="32"/>
        <v>0</v>
      </c>
      <c r="AQ228" s="16">
        <f t="shared" si="33"/>
        <v>227</v>
      </c>
      <c r="AR228" s="16" t="b">
        <f t="shared" si="34"/>
        <v>0</v>
      </c>
      <c r="AS228" s="16" t="b">
        <f t="shared" si="35"/>
        <v>0</v>
      </c>
      <c r="AT228" s="16" t="b">
        <f t="shared" si="36"/>
        <v>0</v>
      </c>
      <c r="AU228" s="16" t="b">
        <f t="shared" si="37"/>
        <v>0</v>
      </c>
    </row>
    <row r="229" spans="30:47" ht="15.95" customHeight="1">
      <c r="AD229" s="131">
        <v>228</v>
      </c>
      <c r="AE229" s="131"/>
      <c r="AF229" s="131"/>
      <c r="AG229" s="131"/>
      <c r="AP229" s="35" t="b">
        <f t="shared" si="32"/>
        <v>0</v>
      </c>
      <c r="AQ229" s="16">
        <f t="shared" si="33"/>
        <v>228</v>
      </c>
      <c r="AR229" s="16" t="b">
        <f t="shared" si="34"/>
        <v>0</v>
      </c>
      <c r="AS229" s="16" t="b">
        <f t="shared" si="35"/>
        <v>0</v>
      </c>
      <c r="AT229" s="16" t="b">
        <f t="shared" si="36"/>
        <v>0</v>
      </c>
      <c r="AU229" s="16" t="b">
        <f t="shared" si="37"/>
        <v>0</v>
      </c>
    </row>
    <row r="230" spans="30:47" ht="15.95" customHeight="1">
      <c r="AD230" s="131">
        <v>229</v>
      </c>
      <c r="AE230" s="131"/>
      <c r="AF230" s="131"/>
      <c r="AG230" s="131"/>
      <c r="AP230" s="35" t="b">
        <f t="shared" si="32"/>
        <v>0</v>
      </c>
      <c r="AQ230" s="16">
        <f t="shared" si="33"/>
        <v>229</v>
      </c>
      <c r="AR230" s="16" t="b">
        <f t="shared" si="34"/>
        <v>0</v>
      </c>
      <c r="AS230" s="16" t="b">
        <f t="shared" si="35"/>
        <v>0</v>
      </c>
      <c r="AT230" s="16" t="b">
        <f t="shared" si="36"/>
        <v>0</v>
      </c>
      <c r="AU230" s="16" t="b">
        <f t="shared" si="37"/>
        <v>0</v>
      </c>
    </row>
    <row r="231" spans="30:47" ht="15.95" customHeight="1">
      <c r="AD231" s="131">
        <v>230</v>
      </c>
      <c r="AE231" s="131"/>
      <c r="AF231" s="131"/>
      <c r="AG231" s="131"/>
      <c r="AP231" s="35" t="b">
        <f t="shared" si="32"/>
        <v>0</v>
      </c>
      <c r="AQ231" s="16">
        <f t="shared" si="33"/>
        <v>230</v>
      </c>
      <c r="AR231" s="16" t="b">
        <f t="shared" si="34"/>
        <v>0</v>
      </c>
      <c r="AS231" s="16" t="b">
        <f t="shared" si="35"/>
        <v>0</v>
      </c>
      <c r="AT231" s="16" t="b">
        <f t="shared" si="36"/>
        <v>0</v>
      </c>
      <c r="AU231" s="16" t="b">
        <f t="shared" si="37"/>
        <v>0</v>
      </c>
    </row>
    <row r="232" spans="30:47" ht="15.95" customHeight="1">
      <c r="AD232" s="131">
        <v>231</v>
      </c>
      <c r="AE232" s="131"/>
      <c r="AF232" s="131"/>
      <c r="AG232" s="131"/>
      <c r="AP232" s="35" t="b">
        <f t="shared" si="32"/>
        <v>0</v>
      </c>
      <c r="AQ232" s="16">
        <f t="shared" si="33"/>
        <v>231</v>
      </c>
      <c r="AR232" s="16" t="b">
        <f t="shared" si="34"/>
        <v>0</v>
      </c>
      <c r="AS232" s="16" t="b">
        <f t="shared" si="35"/>
        <v>0</v>
      </c>
      <c r="AT232" s="16" t="b">
        <f t="shared" si="36"/>
        <v>0</v>
      </c>
      <c r="AU232" s="16" t="b">
        <f t="shared" si="37"/>
        <v>0</v>
      </c>
    </row>
    <row r="233" spans="30:47" ht="15.95" customHeight="1">
      <c r="AD233" s="131">
        <v>232</v>
      </c>
      <c r="AE233" s="131"/>
      <c r="AF233" s="131"/>
      <c r="AG233" s="131"/>
      <c r="AP233" s="35" t="b">
        <f t="shared" si="32"/>
        <v>0</v>
      </c>
      <c r="AQ233" s="16">
        <f t="shared" si="33"/>
        <v>232</v>
      </c>
      <c r="AR233" s="16" t="b">
        <f t="shared" si="34"/>
        <v>0</v>
      </c>
      <c r="AS233" s="16" t="b">
        <f t="shared" si="35"/>
        <v>0</v>
      </c>
      <c r="AT233" s="16" t="b">
        <f t="shared" si="36"/>
        <v>0</v>
      </c>
      <c r="AU233" s="16" t="b">
        <f t="shared" si="37"/>
        <v>0</v>
      </c>
    </row>
    <row r="234" spans="30:47" ht="15.95" customHeight="1">
      <c r="AD234" s="131">
        <v>233</v>
      </c>
      <c r="AE234" s="131"/>
      <c r="AF234" s="131"/>
      <c r="AG234" s="131"/>
      <c r="AP234" s="35" t="b">
        <f t="shared" si="32"/>
        <v>0</v>
      </c>
      <c r="AQ234" s="16">
        <f t="shared" si="33"/>
        <v>233</v>
      </c>
      <c r="AR234" s="16" t="b">
        <f t="shared" si="34"/>
        <v>0</v>
      </c>
      <c r="AS234" s="16" t="b">
        <f t="shared" si="35"/>
        <v>0</v>
      </c>
      <c r="AT234" s="16" t="b">
        <f t="shared" si="36"/>
        <v>0</v>
      </c>
      <c r="AU234" s="16" t="b">
        <f t="shared" si="37"/>
        <v>0</v>
      </c>
    </row>
    <row r="235" spans="30:47" ht="15.95" customHeight="1">
      <c r="AD235" s="131">
        <v>234</v>
      </c>
      <c r="AE235" s="131"/>
      <c r="AF235" s="131"/>
      <c r="AG235" s="131"/>
      <c r="AP235" s="35" t="b">
        <f t="shared" si="32"/>
        <v>0</v>
      </c>
      <c r="AQ235" s="16">
        <f t="shared" si="33"/>
        <v>234</v>
      </c>
      <c r="AR235" s="16" t="b">
        <f t="shared" si="34"/>
        <v>0</v>
      </c>
      <c r="AS235" s="16" t="b">
        <f t="shared" si="35"/>
        <v>0</v>
      </c>
      <c r="AT235" s="16" t="b">
        <f t="shared" si="36"/>
        <v>0</v>
      </c>
      <c r="AU235" s="16" t="b">
        <f t="shared" si="37"/>
        <v>0</v>
      </c>
    </row>
    <row r="236" spans="30:47" ht="15.95" customHeight="1">
      <c r="AD236" s="131"/>
      <c r="AE236" s="131"/>
      <c r="AF236" s="131"/>
      <c r="AG236" s="131"/>
    </row>
    <row r="237" spans="30:47" ht="15.95" customHeight="1">
      <c r="AD237" s="131"/>
      <c r="AE237" s="131"/>
      <c r="AF237" s="131"/>
      <c r="AG237" s="131"/>
    </row>
    <row r="238" spans="30:47" ht="15.95" customHeight="1">
      <c r="AD238" s="131"/>
      <c r="AE238" s="131"/>
      <c r="AF238" s="131"/>
      <c r="AG238" s="131"/>
    </row>
    <row r="239" spans="30:47" ht="15.95" customHeight="1">
      <c r="AD239" s="131"/>
      <c r="AE239" s="131"/>
      <c r="AF239" s="131"/>
      <c r="AG239" s="131"/>
    </row>
  </sheetData>
  <sheetProtection password="C5D1" sheet="1" objects="1" scenarios="1"/>
  <mergeCells count="5">
    <mergeCell ref="B2:F3"/>
    <mergeCell ref="BA44:BF44"/>
    <mergeCell ref="BH51:BH52"/>
    <mergeCell ref="BH54:BH56"/>
    <mergeCell ref="BH60:BH65"/>
  </mergeCells>
  <phoneticPr fontId="28" type="noConversion"/>
  <conditionalFormatting sqref="C22:C27">
    <cfRule type="expression" dxfId="0" priority="1" stopIfTrue="1">
      <formula>AND(D22&gt;0)</formula>
    </cfRule>
  </conditionalFormatting>
  <hyperlinks>
    <hyperlink ref="B34" location="INFO_Inch!A1" display="INFO_Inch!A1" xr:uid="{00000000-0004-0000-0100-000000000000}"/>
  </hyperlinks>
  <printOptions horizontalCentered="1"/>
  <pageMargins left="0.39370078740157483" right="0.39370078740157483" top="0.39370078740157483" bottom="0.39370078740157483" header="0" footer="0"/>
  <pageSetup paperSize="9" scale="95" orientation="landscape" horizontalDpi="4000" verticalDpi="40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Drop Down 1">
              <controlPr defaultSize="0" autoLine="0" autoPict="0">
                <anchor moveWithCells="1">
                  <from>
                    <xdr:col>1</xdr:col>
                    <xdr:colOff>0</xdr:colOff>
                    <xdr:row>6</xdr:row>
                    <xdr:rowOff>123825</xdr:rowOff>
                  </from>
                  <to>
                    <xdr:col>3</xdr:col>
                    <xdr:colOff>0</xdr:colOff>
                    <xdr:row>7</xdr:row>
                    <xdr:rowOff>142875</xdr:rowOff>
                  </to>
                </anchor>
              </controlPr>
            </control>
          </mc:Choice>
        </mc:AlternateContent>
        <mc:AlternateContent xmlns:mc="http://schemas.openxmlformats.org/markup-compatibility/2006">
          <mc:Choice Requires="x14">
            <control shapeId="7170" r:id="rId5" name="Drop Down 2">
              <controlPr defaultSize="0" autoLine="0" autoPict="0">
                <anchor moveWithCells="1">
                  <from>
                    <xdr:col>1</xdr:col>
                    <xdr:colOff>0</xdr:colOff>
                    <xdr:row>12</xdr:row>
                    <xdr:rowOff>152400</xdr:rowOff>
                  </from>
                  <to>
                    <xdr:col>3</xdr:col>
                    <xdr:colOff>0</xdr:colOff>
                    <xdr:row>13</xdr:row>
                    <xdr:rowOff>171450</xdr:rowOff>
                  </to>
                </anchor>
              </controlPr>
            </control>
          </mc:Choice>
        </mc:AlternateContent>
        <mc:AlternateContent xmlns:mc="http://schemas.openxmlformats.org/markup-compatibility/2006">
          <mc:Choice Requires="x14">
            <control shapeId="7171" r:id="rId6" name="Drop Down 3">
              <controlPr defaultSize="0" autoLine="0" autoPict="0">
                <anchor moveWithCells="1">
                  <from>
                    <xdr:col>1</xdr:col>
                    <xdr:colOff>0</xdr:colOff>
                    <xdr:row>14</xdr:row>
                    <xdr:rowOff>57150</xdr:rowOff>
                  </from>
                  <to>
                    <xdr:col>3</xdr:col>
                    <xdr:colOff>0</xdr:colOff>
                    <xdr:row>15</xdr:row>
                    <xdr:rowOff>76200</xdr:rowOff>
                  </to>
                </anchor>
              </controlPr>
            </control>
          </mc:Choice>
        </mc:AlternateContent>
        <mc:AlternateContent xmlns:mc="http://schemas.openxmlformats.org/markup-compatibility/2006">
          <mc:Choice Requires="x14">
            <control shapeId="7172" r:id="rId7" name="Drop Down 4">
              <controlPr defaultSize="0" autoLine="0" autoPict="0">
                <anchor moveWithCells="1">
                  <from>
                    <xdr:col>5</xdr:col>
                    <xdr:colOff>504825</xdr:colOff>
                    <xdr:row>3</xdr:row>
                    <xdr:rowOff>85725</xdr:rowOff>
                  </from>
                  <to>
                    <xdr:col>5</xdr:col>
                    <xdr:colOff>1962150</xdr:colOff>
                    <xdr:row>4</xdr:row>
                    <xdr:rowOff>104775</xdr:rowOff>
                  </to>
                </anchor>
              </controlPr>
            </control>
          </mc:Choice>
        </mc:AlternateContent>
        <mc:AlternateContent xmlns:mc="http://schemas.openxmlformats.org/markup-compatibility/2006">
          <mc:Choice Requires="x14">
            <control shapeId="7173" r:id="rId8" name="Drop Down 5">
              <controlPr defaultSize="0" autoLine="0" autoPict="0">
                <anchor moveWithCells="1">
                  <from>
                    <xdr:col>1</xdr:col>
                    <xdr:colOff>0</xdr:colOff>
                    <xdr:row>5</xdr:row>
                    <xdr:rowOff>19050</xdr:rowOff>
                  </from>
                  <to>
                    <xdr:col>3</xdr:col>
                    <xdr:colOff>0</xdr:colOff>
                    <xdr:row>6</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P19"/>
  <sheetViews>
    <sheetView showGridLines="0" showRowColHeaders="0" zoomScaleNormal="100" workbookViewId="0">
      <selection activeCell="B18" sqref="B18"/>
    </sheetView>
  </sheetViews>
  <sheetFormatPr defaultColWidth="11" defaultRowHeight="12.75"/>
  <cols>
    <col min="1" max="1" width="6.125" customWidth="1"/>
    <col min="2" max="2" width="60.75" customWidth="1"/>
    <col min="3" max="3" width="6.125" customWidth="1"/>
    <col min="4" max="4" width="9" hidden="1" customWidth="1"/>
    <col min="5" max="7" width="60.75" hidden="1" customWidth="1"/>
    <col min="8" max="16" width="9" hidden="1" customWidth="1"/>
    <col min="17" max="34" width="0" hidden="1" customWidth="1"/>
  </cols>
  <sheetData>
    <row r="1" spans="1:7">
      <c r="A1" s="27"/>
      <c r="B1" s="27"/>
      <c r="C1" s="27"/>
      <c r="E1" s="21" t="s">
        <v>1317</v>
      </c>
      <c r="F1" s="21" t="s">
        <v>1316</v>
      </c>
      <c r="G1" s="85" t="s">
        <v>381</v>
      </c>
    </row>
    <row r="2" spans="1:7">
      <c r="A2" s="27"/>
      <c r="B2" s="27"/>
      <c r="C2" s="27"/>
      <c r="E2" s="8">
        <v>1</v>
      </c>
      <c r="F2" s="8">
        <v>2</v>
      </c>
      <c r="G2" s="8">
        <v>3</v>
      </c>
    </row>
    <row r="3" spans="1:7" ht="15">
      <c r="A3" s="27"/>
      <c r="B3" s="149" t="str">
        <f>LOOKUP(METRIC!H$27,E$2:G$2,E3:G3)</f>
        <v>Warning!</v>
      </c>
      <c r="C3" s="27"/>
      <c r="E3" s="31" t="s">
        <v>759</v>
      </c>
      <c r="F3" s="31" t="s">
        <v>156</v>
      </c>
      <c r="G3" s="41" t="s">
        <v>155</v>
      </c>
    </row>
    <row r="4" spans="1:7" s="37" customFormat="1" ht="56.25">
      <c r="A4" s="51"/>
      <c r="B4" s="29" t="str">
        <f>LOOKUP(METRIC!H$27,E$2:G$2,E4:G4)</f>
        <v>The mentioned cutting data are only recommended starting values.              There are many things that can affect so it will be necessary to make adjustments, for example, machine stability, tooling equipment etc.                YG-1 does not take any responsibility for damages that can occur when using the CNC program or cutting data recommended by the software.</v>
      </c>
      <c r="C4" s="51"/>
      <c r="E4" s="32" t="s">
        <v>440</v>
      </c>
      <c r="F4" s="32" t="s">
        <v>448</v>
      </c>
      <c r="G4" s="50" t="s">
        <v>645</v>
      </c>
    </row>
    <row r="5" spans="1:7">
      <c r="A5" s="27"/>
      <c r="B5" s="27"/>
      <c r="C5" s="27"/>
      <c r="E5" s="8"/>
      <c r="F5" s="8"/>
      <c r="G5" s="42"/>
    </row>
    <row r="6" spans="1:7" ht="14.25">
      <c r="A6" s="27"/>
      <c r="B6" s="28" t="str">
        <f>LOOKUP(METRIC!H$27,E$2:G$2,E6:G6)</f>
        <v>How to use the Program</v>
      </c>
      <c r="C6" s="27"/>
      <c r="E6" s="31" t="s">
        <v>637</v>
      </c>
      <c r="F6" s="31" t="s">
        <v>140</v>
      </c>
      <c r="G6" s="41" t="s">
        <v>32</v>
      </c>
    </row>
    <row r="7" spans="1:7" s="37" customFormat="1" ht="112.5">
      <c r="A7" s="51"/>
      <c r="B7" s="29" t="str">
        <f>LOOKUP(METRIC!H$27,E$2:G$2,E7:G7)</f>
        <v>Choose a language furthest down on the right side and make your choices in the drop downs and fill in the first four squares. By filling in sufficient information the program will present a recommended range of milling cutters. When you have chosen one of the cutters, information will be shown about the cutter including recommended cutting data and the time to produce the thread. The complete CNC program will also be shown. The CNC program can be copied and pasted into your CNC file. The other six squares shall only be completed if you do not accept the recommended.</v>
      </c>
      <c r="C7" s="51"/>
      <c r="E7" s="246" t="s">
        <v>1568</v>
      </c>
      <c r="F7" s="246" t="s">
        <v>147</v>
      </c>
      <c r="G7" s="247" t="s">
        <v>1567</v>
      </c>
    </row>
    <row r="8" spans="1:7">
      <c r="A8" s="27"/>
      <c r="B8" s="30"/>
      <c r="C8" s="27"/>
      <c r="E8" s="33"/>
      <c r="F8" s="33"/>
      <c r="G8" s="42"/>
    </row>
    <row r="9" spans="1:7" ht="14.25" hidden="1">
      <c r="A9" s="27"/>
      <c r="B9" s="28" t="e">
        <f>LOOKUP(#REF!,E$2:G$2,E9:G9)</f>
        <v>#REF!</v>
      </c>
      <c r="C9" s="27"/>
      <c r="E9" s="31" t="s">
        <v>1390</v>
      </c>
      <c r="F9" s="31" t="s">
        <v>135</v>
      </c>
      <c r="G9" s="41" t="s">
        <v>648</v>
      </c>
    </row>
    <row r="10" spans="1:7" s="37" customFormat="1" ht="56.25" hidden="1">
      <c r="A10" s="51"/>
      <c r="B10" s="29" t="e">
        <f>LOOKUP(#REF!,E$2:G$2,E10:G10)</f>
        <v>#REF!</v>
      </c>
      <c r="C10" s="51"/>
      <c r="E10" s="32" t="s">
        <v>1378</v>
      </c>
      <c r="F10" s="32" t="s">
        <v>697</v>
      </c>
      <c r="G10" s="50" t="s">
        <v>1356</v>
      </c>
    </row>
    <row r="11" spans="1:7" hidden="1">
      <c r="A11" s="27"/>
      <c r="B11" s="30"/>
      <c r="C11" s="27"/>
      <c r="E11" s="33"/>
      <c r="F11" s="33"/>
      <c r="G11" s="42"/>
    </row>
    <row r="12" spans="1:7" ht="14.25">
      <c r="A12" s="27"/>
      <c r="B12" s="28" t="str">
        <f>LOOKUP(METRIC!H$27,E$2:G$2,E12:G12)</f>
        <v>Correct Thread Diameter right away</v>
      </c>
      <c r="C12" s="27"/>
      <c r="E12" s="31" t="s">
        <v>1391</v>
      </c>
      <c r="F12" s="31" t="s">
        <v>698</v>
      </c>
      <c r="G12" s="41" t="s">
        <v>649</v>
      </c>
    </row>
    <row r="13" spans="1:7" s="37" customFormat="1" ht="107.25" customHeight="1" ph="1">
      <c r="A13" s="51" ph="1"/>
      <c r="B13" s="29" t="str">
        <f>LOOKUP(METRIC!H$27,E$2:G$2,E13:G13)</f>
        <v>The pitch diameter have been optically messured on thread mills from YG-1 and the theoretical external diameter has been individually laser marked on each cutter. This measurement shall be noted in the square beside cutter diameter. You will most probably get a correct thread straight away.           In case you need to make adjustments you can do this in the same square or in the tooling library of the control system.</v>
      </c>
      <c r="C13" s="51" ph="1"/>
      <c r="D13" s="37"/>
      <c r="E13" s="32" t="s" ph="1">
        <v>646</v>
      </c>
      <c r="F13" s="32" t="s" ph="1">
        <v>647</v>
      </c>
      <c r="G13" s="50" t="s" ph="1">
        <v>2000</v>
      </c>
    </row>
    <row r="14" spans="1:7">
      <c r="A14" s="27"/>
      <c r="B14" s="30"/>
      <c r="C14" s="27"/>
      <c r="E14" s="33"/>
      <c r="F14" s="33"/>
      <c r="G14" s="42"/>
    </row>
    <row r="15" spans="1:7" ht="14.25">
      <c r="A15" s="27"/>
      <c r="B15" s="28" t="str">
        <f>LOOKUP(METRIC!H$27,E$2:G$2,E15:G15)</f>
        <v>Unlisted and Special Tooling</v>
      </c>
      <c r="C15" s="27"/>
      <c r="E15" s="31" t="s">
        <v>1129</v>
      </c>
      <c r="F15" s="31" t="s">
        <v>699</v>
      </c>
      <c r="G15" s="41" t="s">
        <v>650</v>
      </c>
    </row>
    <row r="16" spans="1:7" s="37" customFormat="1" ht="33.75">
      <c r="A16" s="51"/>
      <c r="B16" s="29" t="str">
        <f>LOOKUP(METRIC!H$27,E$2:G$2,E16:G16)</f>
        <v xml:space="preserve">If you are using a tool which is not in the list then you can enter cutter diameter, length of cutting edge and number of flutes in square. </v>
      </c>
      <c r="C16" s="51"/>
      <c r="E16" s="32" t="s">
        <v>65</v>
      </c>
      <c r="F16" s="32" t="s">
        <v>66</v>
      </c>
      <c r="G16" s="50" t="s">
        <v>67</v>
      </c>
    </row>
    <row r="17" spans="1:7">
      <c r="A17" s="27"/>
      <c r="B17" s="30"/>
      <c r="C17" s="27"/>
      <c r="E17" s="33"/>
      <c r="F17" s="33"/>
      <c r="G17" s="42"/>
    </row>
    <row r="18" spans="1:7" s="37" customFormat="1" ht="15">
      <c r="A18" s="51"/>
      <c r="B18" s="341" t="str">
        <f>LOOKUP(METRIC!H$27,E$2:G$2,E18:G18)</f>
        <v>back</v>
      </c>
      <c r="C18" s="51"/>
      <c r="E18" s="37" t="s">
        <v>638</v>
      </c>
      <c r="F18" s="37" t="s">
        <v>636</v>
      </c>
      <c r="G18" s="50" t="s">
        <v>299</v>
      </c>
    </row>
    <row r="19" spans="1:7">
      <c r="A19" s="27"/>
      <c r="B19" s="27"/>
      <c r="C19" s="27"/>
      <c r="G19" s="5"/>
    </row>
  </sheetData>
  <sheetProtection password="C5D1" sheet="1" objects="1" scenarios="1"/>
  <phoneticPr fontId="28" type="noConversion"/>
  <hyperlinks>
    <hyperlink ref="B18" location="INCH!A1" display="INCH!A1" xr:uid="{00000000-0004-0000-0200-000000000000}"/>
  </hyperlinks>
  <pageMargins left="0" right="0" top="0" bottom="0" header="0" footer="0"/>
  <pageSetup paperSize="9" orientation="portrait" blackAndWhite="1"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19"/>
  <sheetViews>
    <sheetView showGridLines="0" showRowColHeaders="0" zoomScaleNormal="100" workbookViewId="0">
      <selection activeCell="B18" sqref="B18"/>
    </sheetView>
  </sheetViews>
  <sheetFormatPr defaultColWidth="11" defaultRowHeight="12.75"/>
  <cols>
    <col min="1" max="1" width="6.125" customWidth="1"/>
    <col min="2" max="2" width="60.75" customWidth="1"/>
    <col min="3" max="3" width="6.125" customWidth="1"/>
    <col min="4" max="4" width="9" hidden="1" customWidth="1"/>
    <col min="5" max="7" width="60.75" hidden="1" customWidth="1"/>
    <col min="8" max="16" width="9" hidden="1" customWidth="1"/>
    <col min="17" max="31" width="0" hidden="1" customWidth="1"/>
  </cols>
  <sheetData>
    <row r="1" spans="1:7">
      <c r="A1" s="27"/>
      <c r="B1" s="27"/>
      <c r="C1" s="27"/>
      <c r="E1" s="21" t="s">
        <v>1317</v>
      </c>
      <c r="F1" s="21" t="s">
        <v>1316</v>
      </c>
      <c r="G1" s="85" t="s">
        <v>381</v>
      </c>
    </row>
    <row r="2" spans="1:7">
      <c r="A2" s="27"/>
      <c r="B2" s="27"/>
      <c r="C2" s="27"/>
      <c r="E2" s="8">
        <v>1</v>
      </c>
      <c r="F2" s="8">
        <v>2</v>
      </c>
      <c r="G2" s="8">
        <v>3</v>
      </c>
    </row>
    <row r="3" spans="1:7" ht="15">
      <c r="A3" s="27"/>
      <c r="B3" s="149" t="str">
        <f>LOOKUP(METRIC!H$27,E$2:G$2,E3:G3)</f>
        <v>Warning!</v>
      </c>
      <c r="C3" s="27"/>
      <c r="E3" s="31" t="s">
        <v>759</v>
      </c>
      <c r="F3" s="31" t="s">
        <v>156</v>
      </c>
      <c r="G3" s="41" t="s">
        <v>155</v>
      </c>
    </row>
    <row r="4" spans="1:7" s="37" customFormat="1" ht="56.25">
      <c r="A4" s="51"/>
      <c r="B4" s="29" t="str">
        <f>LOOKUP(METRIC!H$27,E$2:G$2,E4:G4)</f>
        <v>The mentioned cutting data are only recommended starting values.              There are many things that can affect so it will be necessary to make adjustments, for example, machine stability, tooling equipment etc.                YG-1 does not take any responsibility for damages that can occur when using the CNC program or cutting data recommended by the software.</v>
      </c>
      <c r="C4" s="51"/>
      <c r="E4" s="32" t="s">
        <v>440</v>
      </c>
      <c r="F4" s="32" t="s">
        <v>448</v>
      </c>
      <c r="G4" s="50" t="s">
        <v>645</v>
      </c>
    </row>
    <row r="5" spans="1:7">
      <c r="A5" s="27"/>
      <c r="B5" s="27"/>
      <c r="C5" s="27"/>
      <c r="E5" s="8"/>
      <c r="F5" s="8"/>
      <c r="G5" s="42"/>
    </row>
    <row r="6" spans="1:7" ht="14.25">
      <c r="A6" s="27"/>
      <c r="B6" s="28" t="str">
        <f>LOOKUP(METRIC!H$27,E$2:G$2,E6:G6)</f>
        <v>How to use the Program</v>
      </c>
      <c r="C6" s="27"/>
      <c r="E6" s="31" t="s">
        <v>637</v>
      </c>
      <c r="F6" s="31" t="s">
        <v>140</v>
      </c>
      <c r="G6" s="41" t="s">
        <v>32</v>
      </c>
    </row>
    <row r="7" spans="1:7" s="37" customFormat="1" ht="112.5">
      <c r="A7" s="51"/>
      <c r="B7" s="29" t="str">
        <f>LOOKUP(METRIC!H$27,E$2:G$2,E7:G7)</f>
        <v>Choose a language furthest down on the right side and make your choices in the drop downs and fill in the first four squares. By filling in sufficient information the program will present a recommended range of milling cutters. When you have chosen one of the cutters, information will be shown about the cutter including recommended cutting data and the time to produce the thread. The complete CNC program will also be shown. The CNC program can be copied and pasted into your CNC file. The other seven squares shall only be completed if you do not accept the recommended.</v>
      </c>
      <c r="C7" s="51"/>
      <c r="E7" s="246" t="s">
        <v>146</v>
      </c>
      <c r="F7" s="246" t="s">
        <v>147</v>
      </c>
      <c r="G7" s="247" t="s">
        <v>1565</v>
      </c>
    </row>
    <row r="8" spans="1:7">
      <c r="A8" s="27"/>
      <c r="B8" s="30"/>
      <c r="C8" s="27"/>
      <c r="E8" s="33"/>
      <c r="F8" s="33"/>
      <c r="G8" s="42"/>
    </row>
    <row r="9" spans="1:7" ht="14.25" hidden="1">
      <c r="A9" s="27"/>
      <c r="B9" s="28" t="e">
        <f>LOOKUP(#REF!,E$2:G$2,E9:G9)</f>
        <v>#REF!</v>
      </c>
      <c r="C9" s="27"/>
      <c r="E9" s="31" t="s">
        <v>1390</v>
      </c>
      <c r="F9" s="31" t="s">
        <v>135</v>
      </c>
      <c r="G9" s="41" t="s">
        <v>648</v>
      </c>
    </row>
    <row r="10" spans="1:7" s="37" customFormat="1" ht="56.25" hidden="1">
      <c r="A10" s="51"/>
      <c r="B10" s="29" t="e">
        <f>LOOKUP(#REF!,E$2:G$2,E10:G10)</f>
        <v>#REF!</v>
      </c>
      <c r="C10" s="51"/>
      <c r="E10" s="32" t="s">
        <v>1378</v>
      </c>
      <c r="F10" s="32" t="s">
        <v>697</v>
      </c>
      <c r="G10" s="50" t="s">
        <v>1356</v>
      </c>
    </row>
    <row r="11" spans="1:7" hidden="1">
      <c r="A11" s="27"/>
      <c r="B11" s="30"/>
      <c r="C11" s="27"/>
      <c r="E11" s="33"/>
      <c r="F11" s="33"/>
      <c r="G11" s="42"/>
    </row>
    <row r="12" spans="1:7" ht="14.25">
      <c r="A12" s="27"/>
      <c r="B12" s="28" t="str">
        <f>LOOKUP(METRIC!H$27,E$2:G$2,E12:G12)</f>
        <v>Correct Thread Diameter right away</v>
      </c>
      <c r="C12" s="27"/>
      <c r="E12" s="31" t="s">
        <v>1391</v>
      </c>
      <c r="F12" s="31" t="s">
        <v>698</v>
      </c>
      <c r="G12" s="41" t="s">
        <v>649</v>
      </c>
    </row>
    <row r="13" spans="1:7" s="37" customFormat="1" ht="107.25" customHeight="1" ph="1">
      <c r="A13" s="51" ph="1"/>
      <c r="B13" s="29" t="str">
        <f>LOOKUP(METRIC!H$27,E$2:G$2,E13:G13)</f>
        <v>The pitch diameter have been optically messured on thread mills from YG-1 and the theoretical external diameter has been individually laser marked on each cutter. This measurement shall be noted in the square beside cutter diameter. You will most probably get a correct thread straight away.           In case you need to make adjustments you can do this in the same square or in the tooling library of the control system.</v>
      </c>
      <c r="C13" s="51" ph="1"/>
      <c r="D13" s="37"/>
      <c r="E13" s="32" t="s" ph="1">
        <v>646</v>
      </c>
      <c r="F13" s="32" t="s" ph="1">
        <v>647</v>
      </c>
      <c r="G13" s="50" t="s" ph="1">
        <v>1566</v>
      </c>
    </row>
    <row r="14" spans="1:7">
      <c r="A14" s="27"/>
      <c r="B14" s="30"/>
      <c r="C14" s="27"/>
      <c r="E14" s="33"/>
      <c r="F14" s="33"/>
      <c r="G14" s="42"/>
    </row>
    <row r="15" spans="1:7" ht="14.25">
      <c r="A15" s="27"/>
      <c r="B15" s="28" t="str">
        <f>LOOKUP(METRIC!H$27,E$2:G$2,E15:G15)</f>
        <v>Unlisted and Special Tooling</v>
      </c>
      <c r="C15" s="27"/>
      <c r="E15" s="31" t="s">
        <v>1129</v>
      </c>
      <c r="F15" s="31" t="s">
        <v>699</v>
      </c>
      <c r="G15" s="41" t="s">
        <v>650</v>
      </c>
    </row>
    <row r="16" spans="1:7" s="37" customFormat="1" ht="33.75">
      <c r="A16" s="51"/>
      <c r="B16" s="29" t="str">
        <f>LOOKUP(METRIC!H$27,E$2:G$2,E16:G16)</f>
        <v xml:space="preserve">If you are using a tool which is not in the list then you can enter cutter diameter, length of cutting edge and number of flutes in square. </v>
      </c>
      <c r="C16" s="51"/>
      <c r="E16" s="32" t="s">
        <v>65</v>
      </c>
      <c r="F16" s="32" t="s">
        <v>66</v>
      </c>
      <c r="G16" s="50" t="s">
        <v>67</v>
      </c>
    </row>
    <row r="17" spans="1:7">
      <c r="A17" s="27"/>
      <c r="B17" s="30"/>
      <c r="C17" s="27"/>
      <c r="E17" s="33"/>
      <c r="F17" s="33"/>
      <c r="G17" s="42"/>
    </row>
    <row r="18" spans="1:7" s="37" customFormat="1" ht="15">
      <c r="A18" s="51"/>
      <c r="B18" s="341" t="str">
        <f>LOOKUP(METRIC!H$27,E$2:G$2,E18:G18)</f>
        <v>back</v>
      </c>
      <c r="C18" s="51"/>
      <c r="E18" s="37" t="s">
        <v>638</v>
      </c>
      <c r="F18" s="37" t="s">
        <v>636</v>
      </c>
      <c r="G18" s="50" t="s">
        <v>299</v>
      </c>
    </row>
    <row r="19" spans="1:7">
      <c r="A19" s="27"/>
      <c r="B19" s="27"/>
      <c r="C19" s="27"/>
      <c r="G19" s="5"/>
    </row>
  </sheetData>
  <sheetProtection password="C5D1" sheet="1" objects="1" scenarios="1"/>
  <phoneticPr fontId="4"/>
  <hyperlinks>
    <hyperlink ref="B18" location="METRIC!A1" display="METRIC!A1" xr:uid="{00000000-0004-0000-0300-000000000000}"/>
  </hyperlinks>
  <pageMargins left="0" right="0" top="0" bottom="0" header="0" footer="0"/>
  <pageSetup paperSize="9" orientation="portrait" blackAndWhite="1"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K63"/>
  <sheetViews>
    <sheetView topLeftCell="A3" zoomScale="145" zoomScaleNormal="145" workbookViewId="0">
      <selection activeCell="B7" sqref="B7"/>
    </sheetView>
  </sheetViews>
  <sheetFormatPr defaultRowHeight="12.75"/>
  <cols>
    <col min="1" max="1" width="22.75" customWidth="1"/>
    <col min="2" max="2" width="25.5" customWidth="1"/>
  </cols>
  <sheetData>
    <row r="1" spans="2:3" ht="305.25" customHeight="1">
      <c r="B1" s="206" t="s">
        <v>151</v>
      </c>
      <c r="C1" s="206">
        <f>INCH!BP37</f>
        <v>1</v>
      </c>
    </row>
    <row r="2" spans="2:3" ht="305.25" customHeight="1">
      <c r="B2" s="206" t="s">
        <v>327</v>
      </c>
      <c r="C2" s="206"/>
    </row>
    <row r="3" spans="2:3" ht="305.25" customHeight="1">
      <c r="B3" s="208" t="s">
        <v>328</v>
      </c>
    </row>
    <row r="58" spans="9:11">
      <c r="I58" s="204"/>
    </row>
    <row r="63" spans="9:11">
      <c r="K63" s="205"/>
    </row>
  </sheetData>
  <phoneticPr fontId="28" type="noConversion"/>
  <pageMargins left="0.75" right="0.75" top="1" bottom="1"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B1:K63"/>
  <sheetViews>
    <sheetView topLeftCell="A2" zoomScale="130" zoomScaleNormal="130" workbookViewId="0">
      <selection activeCell="A6" sqref="A6"/>
    </sheetView>
  </sheetViews>
  <sheetFormatPr defaultRowHeight="12.75"/>
  <cols>
    <col min="1" max="1" width="22.75" customWidth="1"/>
    <col min="2" max="2" width="25.5" customWidth="1"/>
  </cols>
  <sheetData>
    <row r="1" spans="2:3" ht="305.25" customHeight="1">
      <c r="B1" s="206" t="s">
        <v>151</v>
      </c>
      <c r="C1" s="206">
        <f>METRIC!BP37</f>
        <v>1</v>
      </c>
    </row>
    <row r="2" spans="2:3" ht="305.25" customHeight="1">
      <c r="B2" s="206" t="s">
        <v>327</v>
      </c>
      <c r="C2" s="206"/>
    </row>
    <row r="3" spans="2:3" ht="305.25" customHeight="1">
      <c r="B3" s="208" t="s">
        <v>328</v>
      </c>
    </row>
    <row r="58" spans="9:11">
      <c r="I58" s="204"/>
    </row>
    <row r="63" spans="9:11">
      <c r="K63" s="205"/>
    </row>
  </sheetData>
  <phoneticPr fontId="28" type="noConversion"/>
  <pageMargins left="0.75" right="0.75" top="1" bottom="1" header="0.5" footer="0.5"/>
  <pageSetup paperSize="9" orientation="portrait" r:id="rId1"/>
  <headerFooter alignWithMargins="0"/>
  <cellWatches>
    <cellWatch r="I58"/>
  </cellWatche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4</vt:i4>
      </vt:variant>
    </vt:vector>
  </HeadingPairs>
  <TitlesOfParts>
    <vt:vector size="10" baseType="lpstr">
      <vt:lpstr>METRIC</vt:lpstr>
      <vt:lpstr>INCH</vt:lpstr>
      <vt:lpstr>INFO_Inch</vt:lpstr>
      <vt:lpstr>INFO</vt:lpstr>
      <vt:lpstr>Sheet2</vt:lpstr>
      <vt:lpstr>Sheet1</vt:lpstr>
      <vt:lpstr>INCH!Afdrukbereik</vt:lpstr>
      <vt:lpstr>INFO!Afdrukbereik</vt:lpstr>
      <vt:lpstr>INFO_Inch!Afdrukbereik</vt:lpstr>
      <vt:lpstr>METRIC!Afdrukbereik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K.K.R.</dc:creator>
  <cp:lastModifiedBy>Rene van Ommen</cp:lastModifiedBy>
  <cp:lastPrinted>2013-12-31T10:20:10Z</cp:lastPrinted>
  <dcterms:created xsi:type="dcterms:W3CDTF">2007-04-10T09:31:00Z</dcterms:created>
  <dcterms:modified xsi:type="dcterms:W3CDTF">2024-06-17T13:34:43Z</dcterms:modified>
</cp:coreProperties>
</file>